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drawings/drawing2.xml" ContentType="application/vnd.openxmlformats-officedocument.drawing+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Override PartName="/xl/pivotTables/pivotTable1.xml" ContentType="application/vnd.openxmlformats-officedocument.spreadsheetml.pivotTable+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pivotCache/pivotCacheDefinition1.xml" ContentType="application/vnd.openxmlformats-officedocument.spreadsheetml.pivotCacheDefinition+xml"/>
  <Default Extension="gif" ContentType="image/gif"/>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xl/pivotCache/pivotCacheRecords1.xml" ContentType="application/vnd.openxmlformats-officedocument.spreadsheetml.pivotCacheRecords+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worksheets/sheet89.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10" yWindow="75" windowWidth="15600" windowHeight="10170"/>
  </bookViews>
  <sheets>
    <sheet name="MAIN" sheetId="106" r:id="rId1"/>
    <sheet name="INSERT FUNCTION" sheetId="10" r:id="rId2"/>
    <sheet name="1 IF a" sheetId="15" r:id="rId3"/>
    <sheet name="1 IF b" sheetId="1" r:id="rId4"/>
    <sheet name="1 IF c" sheetId="17" r:id="rId5"/>
    <sheet name="1 IF d" sheetId="22" r:id="rId6"/>
    <sheet name="1 IF e" sheetId="19" r:id="rId7"/>
    <sheet name="1 IF f" sheetId="16" r:id="rId8"/>
    <sheet name="2 SUM" sheetId="41" r:id="rId9"/>
    <sheet name="3 SUBTOTAL a" sheetId="39" r:id="rId10"/>
    <sheet name="3 SUBTOTAL b" sheetId="40" r:id="rId11"/>
    <sheet name="4 SUMIF" sheetId="37" r:id="rId12"/>
    <sheet name="5 COUNT" sheetId="36" r:id="rId13"/>
    <sheet name="6 COUNTA" sheetId="43" r:id="rId14"/>
    <sheet name="7 AVERAGE" sheetId="35" r:id="rId15"/>
    <sheet name="8 COUNTBLANK" sheetId="34" r:id="rId16"/>
    <sheet name="9 COUNTIF" sheetId="33" r:id="rId17"/>
    <sheet name="10 Value" sheetId="44" r:id="rId18"/>
    <sheet name="11 TEXT" sheetId="45" r:id="rId19"/>
    <sheet name="12 VLOOKUP" sheetId="46" r:id="rId20"/>
    <sheet name="13 HLOOKUP" sheetId="47" r:id="rId21"/>
    <sheet name="14 TWO WAY LOOKUP" sheetId="48" r:id="rId22"/>
    <sheet name="15 LOOKUP" sheetId="32" r:id="rId23"/>
    <sheet name="16 MATCH" sheetId="49" r:id="rId24"/>
    <sheet name="17 TRIM" sheetId="50" r:id="rId25"/>
    <sheet name="18 PROPER" sheetId="52" r:id="rId26"/>
    <sheet name="19 LOWER" sheetId="54" r:id="rId27"/>
    <sheet name="21 LEFT" sheetId="55" r:id="rId28"/>
    <sheet name="20 UPPER" sheetId="59" r:id="rId29"/>
    <sheet name="22 RIGHT" sheetId="69" r:id="rId30"/>
    <sheet name="23 MID" sheetId="53" r:id="rId31"/>
    <sheet name="24 FIND" sheetId="56" r:id="rId32"/>
    <sheet name="25 SUBSTITUTE" sheetId="58" r:id="rId33"/>
    <sheet name="26 LEN" sheetId="70" r:id="rId34"/>
    <sheet name="26 LEN adv" sheetId="71" r:id="rId35"/>
    <sheet name="27 REPLACE" sheetId="57" r:id="rId36"/>
    <sheet name="28 CONCANTENATE" sheetId="51" r:id="rId37"/>
    <sheet name="29 CLEAN" sheetId="31" r:id="rId38"/>
    <sheet name="30 NOW" sheetId="60" r:id="rId39"/>
    <sheet name="31 TODAY" sheetId="62" r:id="rId40"/>
    <sheet name="32 DATE" sheetId="65" r:id="rId41"/>
    <sheet name="33 MONTH" sheetId="63" r:id="rId42"/>
    <sheet name="34 DAY" sheetId="66" r:id="rId43"/>
    <sheet name="35 YEAR" sheetId="67" r:id="rId44"/>
    <sheet name="36 WEEKDAY" sheetId="68" r:id="rId45"/>
    <sheet name="37 ROUND" sheetId="72" r:id="rId46"/>
    <sheet name="38 ROUNDDOWN" sheetId="73" r:id="rId47"/>
    <sheet name="39 ROUNDUP (2)" sheetId="84" r:id="rId48"/>
    <sheet name="40 MAX" sheetId="74" r:id="rId49"/>
    <sheet name="41 DMAX " sheetId="86" r:id="rId50"/>
    <sheet name="42 MIN " sheetId="87" r:id="rId51"/>
    <sheet name="43 DMIN" sheetId="75" r:id="rId52"/>
    <sheet name="44 MEDIAN" sheetId="76" r:id="rId53"/>
    <sheet name="45 MODE" sheetId="77" r:id="rId54"/>
    <sheet name="46 PERCENTILE" sheetId="78" r:id="rId55"/>
    <sheet name="47 PERCENTRANK" sheetId="88" r:id="rId56"/>
    <sheet name="48 PMT" sheetId="79" r:id="rId57"/>
    <sheet name="49 NPV" sheetId="89" r:id="rId58"/>
    <sheet name="50 DSUM" sheetId="80" r:id="rId59"/>
    <sheet name="51 DCOUNT" sheetId="90" r:id="rId60"/>
    <sheet name="52 DCOUNTA" sheetId="91" r:id="rId61"/>
    <sheet name="53 AND" sheetId="81" r:id="rId62"/>
    <sheet name="54 OR" sheetId="92" r:id="rId63"/>
    <sheet name="55 CHOOSE" sheetId="82" r:id="rId64"/>
    <sheet name="56 TIME" sheetId="83" r:id="rId65"/>
    <sheet name="57 FV" sheetId="42" r:id="rId66"/>
    <sheet name="58 IRR" sheetId="93" r:id="rId67"/>
    <sheet name="59 YIELD" sheetId="94" r:id="rId68"/>
    <sheet name="60 CELL" sheetId="38" r:id="rId69"/>
    <sheet name="61 INFO" sheetId="95" r:id="rId70"/>
    <sheet name="62 ERROR TYPE" sheetId="64" r:id="rId71"/>
    <sheet name="63 ISBLANK" sheetId="61" r:id="rId72"/>
    <sheet name="64 ISNA" sheetId="96" r:id="rId73"/>
    <sheet name="65 GETPIVOTDATA" sheetId="97" r:id="rId74"/>
    <sheet name="66 HYPERLINK" sheetId="98" r:id="rId75"/>
    <sheet name="67 TRANSPOSE" sheetId="99" r:id="rId76"/>
    <sheet name="68 ABS" sheetId="100" r:id="rId77"/>
    <sheet name="69 RAND" sheetId="101" r:id="rId78"/>
    <sheet name="70 RANDBETWEEN" sheetId="103" r:id="rId79"/>
    <sheet name="71 REPT" sheetId="30" r:id="rId80"/>
    <sheet name="72 SLN" sheetId="29" r:id="rId81"/>
    <sheet name="73 SYD" sheetId="28" r:id="rId82"/>
    <sheet name="74 DDB" sheetId="104" r:id="rId83"/>
    <sheet name="75 DGET" sheetId="27" r:id="rId84"/>
    <sheet name="76 DAY" sheetId="26" r:id="rId85"/>
    <sheet name="77 WEEKNUM" sheetId="25" r:id="rId86"/>
    <sheet name="MORE PMT" sheetId="2" r:id="rId87"/>
    <sheet name="MORE Date" sheetId="4" r:id="rId88"/>
    <sheet name="MORE_Lookup" sheetId="12" r:id="rId89"/>
    <sheet name="MORE Time" sheetId="6" r:id="rId90"/>
    <sheet name="MORE Other" sheetId="7" r:id="rId91"/>
    <sheet name="New in 07" sheetId="11" r:id="rId92"/>
    <sheet name="Lookup Tables" sheetId="9" r:id="rId93"/>
    <sheet name="SELECTED FUNCTIONS" sheetId="14" r:id="rId94"/>
  </sheets>
  <definedNames>
    <definedName name="_xlnm._FilterDatabase" localSheetId="2" hidden="1">'1 IF a'!$B$14:$B$31</definedName>
    <definedName name="data1">'66 HYPERLINK'!$G$15</definedName>
    <definedName name="Date_and_Time_functions" localSheetId="93">'SELECTED FUNCTIONS'!$A$10</definedName>
    <definedName name="Financial_functions" localSheetId="93">'SELECTED FUNCTIONS'!$A$26</definedName>
    <definedName name="Information_functions" localSheetId="93">'SELECTED FUNCTIONS'!$A$36</definedName>
    <definedName name="Logical_functions" localSheetId="93">'SELECTED FUNCTIONS'!$A$49</definedName>
    <definedName name="Lookup_and_Reference_functions" localSheetId="93">'SELECTED FUNCTIONS'!$A$58</definedName>
    <definedName name="Math_and_Trigonometry_functions" localSheetId="93">'SELECTED FUNCTIONS'!$A$69</definedName>
    <definedName name="OLE_LINK1" localSheetId="0">MAIN!$A$11</definedName>
    <definedName name="OLE_LINK2" localSheetId="0">MAIN!$A$13</definedName>
    <definedName name="results1">'66 HYPERLINK'!$G$9</definedName>
    <definedName name="Statistical_functions" localSheetId="93">'SELECTED FUNCTIONS'!$A$81</definedName>
    <definedName name="Text_functions" localSheetId="93">'SELECTED FUNCTIONS'!$A$92</definedName>
  </definedNames>
  <calcPr calcId="125725"/>
  <pivotCaches>
    <pivotCache cacheId="6" r:id="rId95"/>
  </pivotCaches>
</workbook>
</file>

<file path=xl/calcChain.xml><?xml version="1.0" encoding="utf-8"?>
<calcChain xmlns="http://schemas.openxmlformats.org/spreadsheetml/2006/main">
  <c r="F9" i="104"/>
  <c r="F9" i="25"/>
  <c r="F5" i="26"/>
  <c r="F9" s="1"/>
  <c r="E12" i="27"/>
  <c r="E11"/>
  <c r="E10"/>
  <c r="E9"/>
  <c r="E2"/>
  <c r="F9" i="28"/>
  <c r="F9" i="29"/>
  <c r="B5" i="30"/>
  <c r="C5" s="1"/>
  <c r="B6"/>
  <c r="C6" s="1"/>
  <c r="B7"/>
  <c r="C7" s="1"/>
  <c r="B8"/>
  <c r="C8" s="1"/>
  <c r="B9"/>
  <c r="C9" s="1"/>
  <c r="B10"/>
  <c r="C10" s="1"/>
  <c r="B11"/>
  <c r="C11" s="1"/>
  <c r="B12"/>
  <c r="C12" s="1"/>
  <c r="B13"/>
  <c r="C13" s="1"/>
  <c r="B14"/>
  <c r="C14" s="1"/>
  <c r="B15"/>
  <c r="C15" s="1"/>
  <c r="B16"/>
  <c r="C16" s="1"/>
  <c r="B17"/>
  <c r="C17" s="1"/>
  <c r="B18"/>
  <c r="C18" s="1"/>
  <c r="B19"/>
  <c r="C19" s="1"/>
  <c r="B20"/>
  <c r="C20" s="1"/>
  <c r="B4"/>
  <c r="C4" s="1"/>
  <c r="E9" i="103"/>
  <c r="F9"/>
  <c r="G9"/>
  <c r="H9"/>
  <c r="E10"/>
  <c r="F10"/>
  <c r="G10"/>
  <c r="H10"/>
  <c r="E11"/>
  <c r="F11"/>
  <c r="G11"/>
  <c r="H11"/>
  <c r="E12"/>
  <c r="F12"/>
  <c r="G12"/>
  <c r="H12"/>
  <c r="E13"/>
  <c r="F13"/>
  <c r="G13"/>
  <c r="H13"/>
  <c r="E14"/>
  <c r="F14"/>
  <c r="G14"/>
  <c r="H14"/>
  <c r="E15"/>
  <c r="F15"/>
  <c r="G15"/>
  <c r="H15"/>
  <c r="E16"/>
  <c r="F16"/>
  <c r="G16"/>
  <c r="H16"/>
  <c r="E17"/>
  <c r="F17"/>
  <c r="G17"/>
  <c r="H17"/>
  <c r="E18"/>
  <c r="F18"/>
  <c r="G18"/>
  <c r="H18"/>
  <c r="E19"/>
  <c r="F19"/>
  <c r="G19"/>
  <c r="H19"/>
  <c r="E20"/>
  <c r="F20"/>
  <c r="G20"/>
  <c r="H20"/>
  <c r="E21"/>
  <c r="F21"/>
  <c r="G21"/>
  <c r="H21"/>
  <c r="E22"/>
  <c r="F22"/>
  <c r="G22"/>
  <c r="H22"/>
  <c r="E23"/>
  <c r="F23"/>
  <c r="G23"/>
  <c r="H23"/>
  <c r="E24"/>
  <c r="F24"/>
  <c r="G24"/>
  <c r="H24"/>
  <c r="E25"/>
  <c r="F25"/>
  <c r="G25"/>
  <c r="H25"/>
  <c r="E26"/>
  <c r="F26"/>
  <c r="G26"/>
  <c r="H26"/>
  <c r="E27"/>
  <c r="F27"/>
  <c r="G27"/>
  <c r="H27"/>
  <c r="E28"/>
  <c r="F28"/>
  <c r="G28"/>
  <c r="H28"/>
  <c r="D10"/>
  <c r="D11"/>
  <c r="D12"/>
  <c r="D13"/>
  <c r="D14"/>
  <c r="D15"/>
  <c r="D16"/>
  <c r="D17"/>
  <c r="D18"/>
  <c r="D19"/>
  <c r="D20"/>
  <c r="D21"/>
  <c r="D22"/>
  <c r="D23"/>
  <c r="D24"/>
  <c r="D25"/>
  <c r="D26"/>
  <c r="D27"/>
  <c r="D28"/>
  <c r="D9"/>
  <c r="C6"/>
  <c r="C5"/>
  <c r="B7" i="101"/>
  <c r="D7" s="1"/>
  <c r="B8"/>
  <c r="D8" s="1"/>
  <c r="B9"/>
  <c r="D9" s="1"/>
  <c r="B10"/>
  <c r="D10" s="1"/>
  <c r="B11"/>
  <c r="D11" s="1"/>
  <c r="B12"/>
  <c r="D12" s="1"/>
  <c r="B13"/>
  <c r="D13" s="1"/>
  <c r="B14"/>
  <c r="D14" s="1"/>
  <c r="B15"/>
  <c r="D15" s="1"/>
  <c r="B6"/>
  <c r="D6" s="1"/>
  <c r="G32" i="100"/>
  <c r="F32"/>
  <c r="F31"/>
  <c r="G31" s="1"/>
  <c r="F30"/>
  <c r="G30" s="1"/>
  <c r="G28"/>
  <c r="H28" s="1"/>
  <c r="F28"/>
  <c r="F27"/>
  <c r="G27" s="1"/>
  <c r="H27" s="1"/>
  <c r="H26"/>
  <c r="G26"/>
  <c r="F26"/>
  <c r="G25"/>
  <c r="H25" s="1"/>
  <c r="F25"/>
  <c r="F24"/>
  <c r="G24" s="1"/>
  <c r="H24" s="1"/>
  <c r="F23"/>
  <c r="G23" s="1"/>
  <c r="H23" s="1"/>
  <c r="F22"/>
  <c r="G22" s="1"/>
  <c r="H22" s="1"/>
  <c r="H21"/>
  <c r="G21"/>
  <c r="F21"/>
  <c r="F20"/>
  <c r="G20" s="1"/>
  <c r="H20" s="1"/>
  <c r="F19"/>
  <c r="G19" s="1"/>
  <c r="H19" s="1"/>
  <c r="F18"/>
  <c r="G18" s="1"/>
  <c r="H18" s="1"/>
  <c r="H17"/>
  <c r="G17"/>
  <c r="F17"/>
  <c r="G16"/>
  <c r="H16" s="1"/>
  <c r="F16"/>
  <c r="F15"/>
  <c r="G15" s="1"/>
  <c r="H15" s="1"/>
  <c r="G14"/>
  <c r="H14" s="1"/>
  <c r="F14"/>
  <c r="F13"/>
  <c r="G13" s="1"/>
  <c r="H13" s="1"/>
  <c r="G12"/>
  <c r="H12" s="1"/>
  <c r="F12"/>
  <c r="F11"/>
  <c r="G11" s="1"/>
  <c r="H11" s="1"/>
  <c r="H10"/>
  <c r="G10"/>
  <c r="F10"/>
  <c r="G9"/>
  <c r="H9" s="1"/>
  <c r="F9"/>
  <c r="G8"/>
  <c r="H8" s="1"/>
  <c r="F8"/>
  <c r="F7"/>
  <c r="G7" s="1"/>
  <c r="H7" s="1"/>
  <c r="H6"/>
  <c r="G6"/>
  <c r="F6"/>
  <c r="H5"/>
  <c r="G5"/>
  <c r="F5"/>
  <c r="F4"/>
  <c r="F34" s="1"/>
  <c r="G4" l="1"/>
  <c r="H4" s="1"/>
  <c r="C12" i="99" l="1"/>
  <c r="I9"/>
  <c r="H9"/>
  <c r="G9"/>
  <c r="F9"/>
  <c r="E9"/>
  <c r="D9"/>
  <c r="C9" i="98"/>
  <c r="C7"/>
  <c r="J215" i="97"/>
  <c r="J214"/>
  <c r="J213"/>
  <c r="J212"/>
  <c r="J211"/>
  <c r="J210"/>
  <c r="J209"/>
  <c r="J208"/>
  <c r="J207"/>
  <c r="J206"/>
  <c r="J205"/>
  <c r="J204"/>
  <c r="J203"/>
  <c r="J202"/>
  <c r="J201"/>
  <c r="J200"/>
  <c r="J199"/>
  <c r="J198"/>
  <c r="J197"/>
  <c r="J196"/>
  <c r="J195"/>
  <c r="J194"/>
  <c r="J193"/>
  <c r="J192"/>
  <c r="J191"/>
  <c r="J190"/>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G11" i="96"/>
  <c r="C6"/>
  <c r="C6" i="61"/>
  <c r="D11" i="95"/>
  <c r="D10"/>
  <c r="D9"/>
  <c r="D8"/>
  <c r="D7"/>
  <c r="D6"/>
  <c r="D5"/>
  <c r="F12" i="64"/>
  <c r="F16" s="1"/>
  <c r="D15" i="38"/>
  <c r="D14"/>
  <c r="D13"/>
  <c r="D12"/>
  <c r="D11"/>
  <c r="D10"/>
  <c r="M3" i="97"/>
  <c r="M2"/>
  <c r="D9" i="38"/>
  <c r="D8" l="1"/>
  <c r="D7"/>
  <c r="D6"/>
  <c r="D5"/>
  <c r="B14" i="94"/>
  <c r="C6" i="93"/>
  <c r="C7"/>
  <c r="C8"/>
  <c r="C9"/>
  <c r="C10"/>
  <c r="D7" i="42"/>
  <c r="H17" i="83"/>
  <c r="H18"/>
  <c r="H9"/>
  <c r="H10"/>
  <c r="H11"/>
  <c r="H12"/>
  <c r="H13"/>
  <c r="H14"/>
  <c r="H15"/>
  <c r="H16"/>
  <c r="H5"/>
  <c r="H6"/>
  <c r="H7"/>
  <c r="H8"/>
  <c r="H4"/>
  <c r="E5" i="82"/>
  <c r="E6"/>
  <c r="E7"/>
  <c r="E8"/>
  <c r="E9"/>
  <c r="E10"/>
  <c r="E11"/>
  <c r="E12"/>
  <c r="E13"/>
  <c r="E14"/>
  <c r="E15"/>
  <c r="E16"/>
  <c r="E17"/>
  <c r="E18"/>
  <c r="E19"/>
  <c r="E20"/>
  <c r="E21"/>
  <c r="E22"/>
  <c r="E23"/>
  <c r="E24"/>
  <c r="E4"/>
  <c r="D5"/>
  <c r="D6"/>
  <c r="D7"/>
  <c r="D8"/>
  <c r="D9"/>
  <c r="D10"/>
  <c r="D11"/>
  <c r="D12"/>
  <c r="D13"/>
  <c r="D14"/>
  <c r="D15"/>
  <c r="D16"/>
  <c r="D17"/>
  <c r="D18"/>
  <c r="D19"/>
  <c r="D20"/>
  <c r="D21"/>
  <c r="D22"/>
  <c r="D23"/>
  <c r="D24"/>
  <c r="D4"/>
  <c r="J8" i="92"/>
  <c r="J9"/>
  <c r="J10"/>
  <c r="J11"/>
  <c r="J12"/>
  <c r="J13"/>
  <c r="J14"/>
  <c r="J15"/>
  <c r="J16"/>
  <c r="J17"/>
  <c r="J18"/>
  <c r="J19"/>
  <c r="J20"/>
  <c r="J21"/>
  <c r="J22"/>
  <c r="J23"/>
  <c r="J24"/>
  <c r="J25"/>
  <c r="J26"/>
  <c r="J27"/>
  <c r="J28"/>
  <c r="J7"/>
  <c r="J8" i="81"/>
  <c r="J9"/>
  <c r="J10"/>
  <c r="J11"/>
  <c r="J12"/>
  <c r="J13"/>
  <c r="J14"/>
  <c r="J15"/>
  <c r="J16"/>
  <c r="J17"/>
  <c r="J18"/>
  <c r="J19"/>
  <c r="J20"/>
  <c r="J21"/>
  <c r="J22"/>
  <c r="J23"/>
  <c r="J24"/>
  <c r="J25"/>
  <c r="J26"/>
  <c r="J27"/>
  <c r="J28"/>
  <c r="J7"/>
  <c r="J3" i="91"/>
  <c r="H3"/>
  <c r="G3"/>
  <c r="F3"/>
  <c r="H78"/>
  <c r="H77"/>
  <c r="H76"/>
  <c r="H75"/>
  <c r="H74"/>
  <c r="H73"/>
  <c r="H72"/>
  <c r="H71"/>
  <c r="H70"/>
  <c r="H69"/>
  <c r="H68"/>
  <c r="H67"/>
  <c r="H66"/>
  <c r="H65"/>
  <c r="H64"/>
  <c r="H63"/>
  <c r="H62"/>
  <c r="H61"/>
  <c r="H60"/>
  <c r="H59"/>
  <c r="H58"/>
  <c r="H57"/>
  <c r="H56"/>
  <c r="F55"/>
  <c r="H55" s="1"/>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J4"/>
  <c r="H4"/>
  <c r="G4"/>
  <c r="F4"/>
  <c r="G3" i="90"/>
  <c r="H3"/>
  <c r="J3"/>
  <c r="F3"/>
  <c r="H78"/>
  <c r="H77"/>
  <c r="H76"/>
  <c r="H75"/>
  <c r="H74"/>
  <c r="H73"/>
  <c r="H72"/>
  <c r="H71"/>
  <c r="H70"/>
  <c r="H69"/>
  <c r="H68"/>
  <c r="H67"/>
  <c r="H66"/>
  <c r="H65"/>
  <c r="H64"/>
  <c r="H63"/>
  <c r="H62"/>
  <c r="H61"/>
  <c r="H60"/>
  <c r="H59"/>
  <c r="H58"/>
  <c r="H57"/>
  <c r="H56"/>
  <c r="F55"/>
  <c r="H55" s="1"/>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J4"/>
  <c r="H4"/>
  <c r="G4"/>
  <c r="F4"/>
  <c r="J3" i="80"/>
  <c r="G3"/>
  <c r="F3"/>
  <c r="H77"/>
  <c r="H76"/>
  <c r="H75"/>
  <c r="H74"/>
  <c r="H73"/>
  <c r="H72"/>
  <c r="H71"/>
  <c r="H70"/>
  <c r="H69"/>
  <c r="H68"/>
  <c r="H67"/>
  <c r="H66"/>
  <c r="H65"/>
  <c r="H64"/>
  <c r="H63"/>
  <c r="H62"/>
  <c r="H61"/>
  <c r="H60"/>
  <c r="H59"/>
  <c r="H58"/>
  <c r="H57"/>
  <c r="H56"/>
  <c r="H55"/>
  <c r="F54"/>
  <c r="H54" s="1"/>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3" s="1"/>
  <c r="H10"/>
  <c r="D40" i="89"/>
  <c r="B6"/>
  <c r="C13" i="79"/>
  <c r="E13" s="1"/>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12"/>
  <c r="F12" s="1"/>
  <c r="G12" s="1"/>
  <c r="E12"/>
  <c r="C12"/>
  <c r="G11"/>
  <c r="F11"/>
  <c r="E11"/>
  <c r="D11"/>
  <c r="C11"/>
  <c r="B7"/>
  <c r="E17" i="88"/>
  <c r="E10"/>
  <c r="E11"/>
  <c r="E19"/>
  <c r="E8"/>
  <c r="E14"/>
  <c r="E5"/>
  <c r="E6"/>
  <c r="E4"/>
  <c r="E9"/>
  <c r="E16"/>
  <c r="E15"/>
  <c r="E20"/>
  <c r="E18"/>
  <c r="E7"/>
  <c r="E12"/>
  <c r="E21"/>
  <c r="E13"/>
  <c r="D21"/>
  <c r="D12"/>
  <c r="D7"/>
  <c r="D18"/>
  <c r="D20"/>
  <c r="D15"/>
  <c r="D16"/>
  <c r="D9"/>
  <c r="H13"/>
  <c r="D4"/>
  <c r="H12"/>
  <c r="D6"/>
  <c r="H11"/>
  <c r="D5"/>
  <c r="H10"/>
  <c r="D14"/>
  <c r="H9"/>
  <c r="D8"/>
  <c r="H8"/>
  <c r="D19"/>
  <c r="H7"/>
  <c r="D11"/>
  <c r="H6"/>
  <c r="D10"/>
  <c r="H5"/>
  <c r="D17"/>
  <c r="H4"/>
  <c r="D13"/>
  <c r="D4" i="78"/>
  <c r="D9"/>
  <c r="D16"/>
  <c r="D15"/>
  <c r="D20"/>
  <c r="D18"/>
  <c r="D7"/>
  <c r="D12"/>
  <c r="G4"/>
  <c r="G5"/>
  <c r="G6"/>
  <c r="G7"/>
  <c r="G8"/>
  <c r="G9"/>
  <c r="G10"/>
  <c r="G11"/>
  <c r="G12"/>
  <c r="G13"/>
  <c r="D13"/>
  <c r="D17"/>
  <c r="D10"/>
  <c r="D11"/>
  <c r="D19"/>
  <c r="D8"/>
  <c r="D14"/>
  <c r="D5"/>
  <c r="D6"/>
  <c r="D21"/>
  <c r="G3" i="77"/>
  <c r="H3"/>
  <c r="I3"/>
  <c r="J3"/>
  <c r="F3"/>
  <c r="H79"/>
  <c r="H78"/>
  <c r="H77"/>
  <c r="H76"/>
  <c r="H75"/>
  <c r="H74"/>
  <c r="H73"/>
  <c r="H72"/>
  <c r="H71"/>
  <c r="H70"/>
  <c r="H69"/>
  <c r="H68"/>
  <c r="H67"/>
  <c r="H66"/>
  <c r="H65"/>
  <c r="H64"/>
  <c r="H63"/>
  <c r="H62"/>
  <c r="H61"/>
  <c r="H60"/>
  <c r="H59"/>
  <c r="H58"/>
  <c r="H57"/>
  <c r="F56"/>
  <c r="H56" s="1"/>
  <c r="H5" s="1"/>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6" s="1"/>
  <c r="J6"/>
  <c r="I6"/>
  <c r="G6"/>
  <c r="J5"/>
  <c r="I5"/>
  <c r="G5"/>
  <c r="J4"/>
  <c r="I4"/>
  <c r="G4"/>
  <c r="G3" i="76"/>
  <c r="H3"/>
  <c r="I3"/>
  <c r="J3"/>
  <c r="F3"/>
  <c r="H78"/>
  <c r="H77"/>
  <c r="H76"/>
  <c r="H75"/>
  <c r="H74"/>
  <c r="H73"/>
  <c r="H72"/>
  <c r="H71"/>
  <c r="H70"/>
  <c r="H69"/>
  <c r="H68"/>
  <c r="H67"/>
  <c r="H66"/>
  <c r="H65"/>
  <c r="H64"/>
  <c r="H63"/>
  <c r="H62"/>
  <c r="H61"/>
  <c r="H60"/>
  <c r="H59"/>
  <c r="H58"/>
  <c r="H57"/>
  <c r="H56"/>
  <c r="F55"/>
  <c r="H55" s="1"/>
  <c r="H4" s="1"/>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5" s="1"/>
  <c r="J5"/>
  <c r="I5"/>
  <c r="G5"/>
  <c r="J4"/>
  <c r="I4"/>
  <c r="G4"/>
  <c r="G3" i="87"/>
  <c r="H3"/>
  <c r="I3"/>
  <c r="J3"/>
  <c r="F3"/>
  <c r="G4"/>
  <c r="H4"/>
  <c r="I4"/>
  <c r="J4"/>
  <c r="F4"/>
  <c r="H77"/>
  <c r="H76"/>
  <c r="H75"/>
  <c r="H74"/>
  <c r="H73"/>
  <c r="H72"/>
  <c r="H71"/>
  <c r="H70"/>
  <c r="H69"/>
  <c r="H68"/>
  <c r="H67"/>
  <c r="H66"/>
  <c r="H65"/>
  <c r="H64"/>
  <c r="H63"/>
  <c r="H62"/>
  <c r="H61"/>
  <c r="H60"/>
  <c r="H59"/>
  <c r="H58"/>
  <c r="H57"/>
  <c r="H56"/>
  <c r="H55"/>
  <c r="F54"/>
  <c r="H54" s="1"/>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76" i="75"/>
  <c r="H75"/>
  <c r="H74"/>
  <c r="H73"/>
  <c r="H72"/>
  <c r="H71"/>
  <c r="H70"/>
  <c r="H69"/>
  <c r="H68"/>
  <c r="H67"/>
  <c r="H66"/>
  <c r="H65"/>
  <c r="H64"/>
  <c r="H63"/>
  <c r="H62"/>
  <c r="H61"/>
  <c r="H60"/>
  <c r="H59"/>
  <c r="H58"/>
  <c r="H57"/>
  <c r="H56"/>
  <c r="H55"/>
  <c r="H54"/>
  <c r="F53"/>
  <c r="H53" s="1"/>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E2"/>
  <c r="H76" i="86"/>
  <c r="H75"/>
  <c r="H74"/>
  <c r="H73"/>
  <c r="H72"/>
  <c r="H71"/>
  <c r="H70"/>
  <c r="H69"/>
  <c r="H68"/>
  <c r="H67"/>
  <c r="H66"/>
  <c r="H65"/>
  <c r="H64"/>
  <c r="H63"/>
  <c r="H62"/>
  <c r="H61"/>
  <c r="H60"/>
  <c r="H59"/>
  <c r="H58"/>
  <c r="H57"/>
  <c r="H56"/>
  <c r="H55"/>
  <c r="H54"/>
  <c r="F53"/>
  <c r="H53" s="1"/>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E2"/>
  <c r="I3" i="74"/>
  <c r="J3"/>
  <c r="F3"/>
  <c r="G3"/>
  <c r="H70"/>
  <c r="H59"/>
  <c r="H71"/>
  <c r="H54"/>
  <c r="H63"/>
  <c r="H74"/>
  <c r="H61"/>
  <c r="H67"/>
  <c r="H75"/>
  <c r="H69"/>
  <c r="H57"/>
  <c r="H56"/>
  <c r="H72"/>
  <c r="H66"/>
  <c r="H62"/>
  <c r="H73"/>
  <c r="H76"/>
  <c r="H64"/>
  <c r="H58"/>
  <c r="H65"/>
  <c r="H55"/>
  <c r="H68"/>
  <c r="H60"/>
  <c r="H53"/>
  <c r="F53"/>
  <c r="H52"/>
  <c r="H42"/>
  <c r="H48"/>
  <c r="H49"/>
  <c r="H45"/>
  <c r="H51"/>
  <c r="H50"/>
  <c r="H43"/>
  <c r="H40"/>
  <c r="H47"/>
  <c r="H44"/>
  <c r="H41"/>
  <c r="H46"/>
  <c r="H39"/>
  <c r="H36"/>
  <c r="H32"/>
  <c r="H38"/>
  <c r="H31"/>
  <c r="H22"/>
  <c r="H29"/>
  <c r="H35"/>
  <c r="H23"/>
  <c r="H33"/>
  <c r="H27"/>
  <c r="H26"/>
  <c r="H34"/>
  <c r="H24"/>
  <c r="H28"/>
  <c r="H30"/>
  <c r="H37"/>
  <c r="H25"/>
  <c r="H10"/>
  <c r="H18"/>
  <c r="H11"/>
  <c r="H19"/>
  <c r="H21"/>
  <c r="H20"/>
  <c r="H16"/>
  <c r="H13"/>
  <c r="H15"/>
  <c r="H9"/>
  <c r="H14"/>
  <c r="H12"/>
  <c r="H17"/>
  <c r="I18" i="84"/>
  <c r="H18"/>
  <c r="G18"/>
  <c r="F18"/>
  <c r="I17"/>
  <c r="H17"/>
  <c r="G17"/>
  <c r="F17"/>
  <c r="I16"/>
  <c r="H16"/>
  <c r="G16"/>
  <c r="F16"/>
  <c r="I15"/>
  <c r="H15"/>
  <c r="G15"/>
  <c r="F15"/>
  <c r="I14"/>
  <c r="H14"/>
  <c r="G14"/>
  <c r="F14"/>
  <c r="I13"/>
  <c r="H13"/>
  <c r="G13"/>
  <c r="F13"/>
  <c r="I10"/>
  <c r="H10"/>
  <c r="G10"/>
  <c r="F10"/>
  <c r="I9"/>
  <c r="H9"/>
  <c r="G9"/>
  <c r="F9"/>
  <c r="I8"/>
  <c r="H8"/>
  <c r="G8"/>
  <c r="F8"/>
  <c r="I7"/>
  <c r="H7"/>
  <c r="G7"/>
  <c r="F7"/>
  <c r="I6"/>
  <c r="H6"/>
  <c r="G6"/>
  <c r="F6"/>
  <c r="I5"/>
  <c r="H5"/>
  <c r="G5"/>
  <c r="F5"/>
  <c r="I10" i="73"/>
  <c r="H10"/>
  <c r="G10"/>
  <c r="F10"/>
  <c r="I9"/>
  <c r="H9"/>
  <c r="G9"/>
  <c r="F9"/>
  <c r="I8"/>
  <c r="H8"/>
  <c r="G8"/>
  <c r="F8"/>
  <c r="I7"/>
  <c r="H7"/>
  <c r="G7"/>
  <c r="F7"/>
  <c r="I6"/>
  <c r="H6"/>
  <c r="G6"/>
  <c r="F6"/>
  <c r="I5"/>
  <c r="H5"/>
  <c r="G5"/>
  <c r="F5"/>
  <c r="I29" i="11"/>
  <c r="I28"/>
  <c r="I27"/>
  <c r="I26"/>
  <c r="I21"/>
  <c r="I20"/>
  <c r="I19"/>
  <c r="I18"/>
  <c r="B24" i="12"/>
  <c r="B23"/>
  <c r="B22"/>
  <c r="B20"/>
  <c r="B13"/>
  <c r="B12"/>
  <c r="B11"/>
  <c r="B9"/>
  <c r="H16" i="73"/>
  <c r="G16"/>
  <c r="F16"/>
  <c r="I15"/>
  <c r="H15"/>
  <c r="G15"/>
  <c r="F15"/>
  <c r="I14"/>
  <c r="H14"/>
  <c r="G14"/>
  <c r="F14"/>
  <c r="I13"/>
  <c r="H13"/>
  <c r="G13"/>
  <c r="F13"/>
  <c r="F13" i="59"/>
  <c r="F12"/>
  <c r="F11"/>
  <c r="F10"/>
  <c r="F9"/>
  <c r="F8"/>
  <c r="F7"/>
  <c r="F6"/>
  <c r="E13" i="32"/>
  <c r="E12"/>
  <c r="E11"/>
  <c r="E10"/>
  <c r="E9"/>
  <c r="E8"/>
  <c r="E7"/>
  <c r="E6"/>
  <c r="J7" i="48"/>
  <c r="I7"/>
  <c r="E3" s="1"/>
  <c r="H7"/>
  <c r="G7"/>
  <c r="F7"/>
  <c r="E7"/>
  <c r="D7"/>
  <c r="C7"/>
  <c r="F4" i="33"/>
  <c r="G18" i="16"/>
  <c r="E18"/>
  <c r="K17"/>
  <c r="I17"/>
  <c r="G17"/>
  <c r="E17"/>
  <c r="K16"/>
  <c r="I16"/>
  <c r="G16"/>
  <c r="E16"/>
  <c r="D12" i="22"/>
  <c r="D11"/>
  <c r="D10"/>
  <c r="D9"/>
  <c r="D8"/>
  <c r="D7"/>
  <c r="D6"/>
  <c r="D14"/>
  <c r="D13"/>
  <c r="K18" i="16"/>
  <c r="I18"/>
  <c r="E14" i="46"/>
  <c r="E15" s="1"/>
  <c r="E16" s="1"/>
  <c r="E18" i="47"/>
  <c r="K7" i="48"/>
  <c r="E15" i="32"/>
  <c r="E14"/>
  <c r="E14" i="49"/>
  <c r="E15" s="1"/>
  <c r="E16" s="1"/>
  <c r="F21" i="59"/>
  <c r="F20"/>
  <c r="F19"/>
  <c r="F18"/>
  <c r="F17"/>
  <c r="F16"/>
  <c r="F15"/>
  <c r="F14"/>
  <c r="I18" i="73"/>
  <c r="H18"/>
  <c r="G18"/>
  <c r="F18"/>
  <c r="I17"/>
  <c r="H17"/>
  <c r="G17"/>
  <c r="F17"/>
  <c r="I16"/>
  <c r="B26" i="12"/>
  <c r="B25"/>
  <c r="I42" i="11"/>
  <c r="I41"/>
  <c r="I40"/>
  <c r="I39"/>
  <c r="L28" i="72"/>
  <c r="L10"/>
  <c r="L11"/>
  <c r="L15"/>
  <c r="L16"/>
  <c r="L17"/>
  <c r="L23"/>
  <c r="L24"/>
  <c r="L27"/>
  <c r="L30"/>
  <c r="L31"/>
  <c r="L34"/>
  <c r="L35"/>
  <c r="L36"/>
  <c r="L37"/>
  <c r="L38"/>
  <c r="L39"/>
  <c r="L42"/>
  <c r="L46"/>
  <c r="L47"/>
  <c r="L51"/>
  <c r="L54"/>
  <c r="L62"/>
  <c r="L63"/>
  <c r="L64"/>
  <c r="L65"/>
  <c r="L68"/>
  <c r="L69"/>
  <c r="L9"/>
  <c r="K12"/>
  <c r="K19" s="1"/>
  <c r="L19" s="1"/>
  <c r="K17"/>
  <c r="K25"/>
  <c r="L25" s="1"/>
  <c r="K32"/>
  <c r="L32" s="1"/>
  <c r="K43"/>
  <c r="K48"/>
  <c r="L48" s="1"/>
  <c r="K52"/>
  <c r="L52" s="1"/>
  <c r="K65"/>
  <c r="K71" s="1"/>
  <c r="L71" s="1"/>
  <c r="K69"/>
  <c r="J69"/>
  <c r="I69"/>
  <c r="H69"/>
  <c r="G69"/>
  <c r="J65"/>
  <c r="J71" s="1"/>
  <c r="I65"/>
  <c r="I71" s="1"/>
  <c r="H65"/>
  <c r="H71" s="1"/>
  <c r="G65"/>
  <c r="G71" s="1"/>
  <c r="J52"/>
  <c r="I52"/>
  <c r="H52"/>
  <c r="G52"/>
  <c r="J48"/>
  <c r="I48"/>
  <c r="H48"/>
  <c r="G48"/>
  <c r="J43"/>
  <c r="I43"/>
  <c r="H43"/>
  <c r="G43"/>
  <c r="J32"/>
  <c r="I32"/>
  <c r="H32"/>
  <c r="G32"/>
  <c r="J25"/>
  <c r="J55" s="1"/>
  <c r="I25"/>
  <c r="I55" s="1"/>
  <c r="H25"/>
  <c r="H55" s="1"/>
  <c r="G25"/>
  <c r="G55" s="1"/>
  <c r="J17"/>
  <c r="I17"/>
  <c r="H17"/>
  <c r="G17"/>
  <c r="J12"/>
  <c r="J19" s="1"/>
  <c r="J57" s="1"/>
  <c r="J73" s="1"/>
  <c r="I12"/>
  <c r="I19" s="1"/>
  <c r="I57" s="1"/>
  <c r="I73" s="1"/>
  <c r="H12"/>
  <c r="H19" s="1"/>
  <c r="H57" s="1"/>
  <c r="H73" s="1"/>
  <c r="G12"/>
  <c r="G19" s="1"/>
  <c r="G57" s="1"/>
  <c r="G73" s="1"/>
  <c r="F9" i="68"/>
  <c r="F9" i="67"/>
  <c r="F9" i="66"/>
  <c r="F5"/>
  <c r="E2" i="65"/>
  <c r="F5" i="63"/>
  <c r="D5" i="62"/>
  <c r="D5" i="60"/>
  <c r="J5" i="71"/>
  <c r="J6"/>
  <c r="J7"/>
  <c r="J8"/>
  <c r="J10"/>
  <c r="J4"/>
  <c r="H4"/>
  <c r="K5"/>
  <c r="K6"/>
  <c r="K7"/>
  <c r="K8"/>
  <c r="K10"/>
  <c r="K4"/>
  <c r="E5"/>
  <c r="F5" s="1"/>
  <c r="G5" s="1"/>
  <c r="H5" s="1"/>
  <c r="E6"/>
  <c r="F6" s="1"/>
  <c r="G6" s="1"/>
  <c r="H6" s="1"/>
  <c r="E7"/>
  <c r="F7" s="1"/>
  <c r="G7" s="1"/>
  <c r="H7" s="1"/>
  <c r="E8"/>
  <c r="F8" s="1"/>
  <c r="G8" s="1"/>
  <c r="H8" s="1"/>
  <c r="E9"/>
  <c r="F9" s="1"/>
  <c r="G9" s="1"/>
  <c r="H9" s="1"/>
  <c r="E10"/>
  <c r="F10" s="1"/>
  <c r="G10" s="1"/>
  <c r="H10" s="1"/>
  <c r="B32"/>
  <c r="B33" s="1"/>
  <c r="B31"/>
  <c r="C5"/>
  <c r="C6"/>
  <c r="C7"/>
  <c r="C8"/>
  <c r="C9"/>
  <c r="C10"/>
  <c r="C4"/>
  <c r="D5" i="70"/>
  <c r="D6"/>
  <c r="D7"/>
  <c r="D8"/>
  <c r="D10"/>
  <c r="D4"/>
  <c r="C19"/>
  <c r="C17"/>
  <c r="C16"/>
  <c r="C15"/>
  <c r="C14"/>
  <c r="C13"/>
  <c r="B14"/>
  <c r="B15"/>
  <c r="B16"/>
  <c r="B17"/>
  <c r="B18"/>
  <c r="C18" s="1"/>
  <c r="D9" s="1"/>
  <c r="B19"/>
  <c r="B13"/>
  <c r="C5"/>
  <c r="C6"/>
  <c r="C7"/>
  <c r="C8"/>
  <c r="C9"/>
  <c r="C10"/>
  <c r="C4"/>
  <c r="E4" i="71"/>
  <c r="F4" s="1"/>
  <c r="G4" s="1"/>
  <c r="J5" i="70"/>
  <c r="J6"/>
  <c r="J7"/>
  <c r="J8"/>
  <c r="J9"/>
  <c r="J10"/>
  <c r="J4"/>
  <c r="C4" i="31"/>
  <c r="C8" s="1"/>
  <c r="G8" i="69"/>
  <c r="G12"/>
  <c r="G16"/>
  <c r="G20"/>
  <c r="G24"/>
  <c r="G28"/>
  <c r="G32"/>
  <c r="G36"/>
  <c r="G40"/>
  <c r="G44"/>
  <c r="G48"/>
  <c r="G52"/>
  <c r="G56"/>
  <c r="G60"/>
  <c r="G64"/>
  <c r="G68"/>
  <c r="G72"/>
  <c r="G76"/>
  <c r="G80"/>
  <c r="G84"/>
  <c r="G88"/>
  <c r="G92"/>
  <c r="G96"/>
  <c r="G100"/>
  <c r="G104"/>
  <c r="F7"/>
  <c r="G7" s="1"/>
  <c r="F8"/>
  <c r="F9"/>
  <c r="G9" s="1"/>
  <c r="F10"/>
  <c r="G10" s="1"/>
  <c r="F11"/>
  <c r="G11" s="1"/>
  <c r="F12"/>
  <c r="F13"/>
  <c r="G13" s="1"/>
  <c r="F14"/>
  <c r="G14" s="1"/>
  <c r="F15"/>
  <c r="G15" s="1"/>
  <c r="F16"/>
  <c r="F17"/>
  <c r="G17" s="1"/>
  <c r="F18"/>
  <c r="G18" s="1"/>
  <c r="F19"/>
  <c r="G19" s="1"/>
  <c r="F20"/>
  <c r="F21"/>
  <c r="G21" s="1"/>
  <c r="F22"/>
  <c r="G22" s="1"/>
  <c r="F23"/>
  <c r="G23" s="1"/>
  <c r="F24"/>
  <c r="F25"/>
  <c r="G25" s="1"/>
  <c r="F26"/>
  <c r="G26" s="1"/>
  <c r="F27"/>
  <c r="G27" s="1"/>
  <c r="F28"/>
  <c r="F29"/>
  <c r="G29" s="1"/>
  <c r="F30"/>
  <c r="G30" s="1"/>
  <c r="F31"/>
  <c r="G31" s="1"/>
  <c r="F32"/>
  <c r="F33"/>
  <c r="G33" s="1"/>
  <c r="F34"/>
  <c r="G34" s="1"/>
  <c r="F35"/>
  <c r="G35" s="1"/>
  <c r="F36"/>
  <c r="F37"/>
  <c r="G37" s="1"/>
  <c r="F38"/>
  <c r="G38" s="1"/>
  <c r="F39"/>
  <c r="G39" s="1"/>
  <c r="F40"/>
  <c r="F41"/>
  <c r="G41" s="1"/>
  <c r="F42"/>
  <c r="G42" s="1"/>
  <c r="F43"/>
  <c r="G43" s="1"/>
  <c r="F44"/>
  <c r="F45"/>
  <c r="G45" s="1"/>
  <c r="F46"/>
  <c r="G46" s="1"/>
  <c r="F47"/>
  <c r="G47" s="1"/>
  <c r="F48"/>
  <c r="F49"/>
  <c r="G49" s="1"/>
  <c r="F50"/>
  <c r="G50" s="1"/>
  <c r="F51"/>
  <c r="G51" s="1"/>
  <c r="F52"/>
  <c r="F53"/>
  <c r="G53" s="1"/>
  <c r="F54"/>
  <c r="G54" s="1"/>
  <c r="F55"/>
  <c r="G55" s="1"/>
  <c r="F56"/>
  <c r="F57"/>
  <c r="G57" s="1"/>
  <c r="F58"/>
  <c r="G58" s="1"/>
  <c r="F59"/>
  <c r="G59" s="1"/>
  <c r="F60"/>
  <c r="F61"/>
  <c r="G61" s="1"/>
  <c r="F62"/>
  <c r="G62" s="1"/>
  <c r="F63"/>
  <c r="G63" s="1"/>
  <c r="F64"/>
  <c r="F65"/>
  <c r="G65" s="1"/>
  <c r="F66"/>
  <c r="G66" s="1"/>
  <c r="F67"/>
  <c r="G67" s="1"/>
  <c r="F68"/>
  <c r="F69"/>
  <c r="G69" s="1"/>
  <c r="F70"/>
  <c r="G70" s="1"/>
  <c r="F71"/>
  <c r="G71" s="1"/>
  <c r="F72"/>
  <c r="F73"/>
  <c r="G73" s="1"/>
  <c r="F74"/>
  <c r="G74" s="1"/>
  <c r="F75"/>
  <c r="G75" s="1"/>
  <c r="F76"/>
  <c r="F77"/>
  <c r="G77" s="1"/>
  <c r="F78"/>
  <c r="G78" s="1"/>
  <c r="F79"/>
  <c r="G79" s="1"/>
  <c r="F80"/>
  <c r="F81"/>
  <c r="G81" s="1"/>
  <c r="F82"/>
  <c r="G82" s="1"/>
  <c r="F83"/>
  <c r="G83" s="1"/>
  <c r="F84"/>
  <c r="F85"/>
  <c r="G85" s="1"/>
  <c r="F86"/>
  <c r="G86" s="1"/>
  <c r="F87"/>
  <c r="G87" s="1"/>
  <c r="F88"/>
  <c r="F89"/>
  <c r="G89" s="1"/>
  <c r="F90"/>
  <c r="G90" s="1"/>
  <c r="F91"/>
  <c r="G91" s="1"/>
  <c r="F92"/>
  <c r="F93"/>
  <c r="G93" s="1"/>
  <c r="F94"/>
  <c r="G94" s="1"/>
  <c r="F95"/>
  <c r="G95" s="1"/>
  <c r="F96"/>
  <c r="F97"/>
  <c r="G97" s="1"/>
  <c r="F98"/>
  <c r="G98" s="1"/>
  <c r="F99"/>
  <c r="G99" s="1"/>
  <c r="F100"/>
  <c r="F101"/>
  <c r="G101" s="1"/>
  <c r="F102"/>
  <c r="G102" s="1"/>
  <c r="F103"/>
  <c r="G103" s="1"/>
  <c r="F104"/>
  <c r="F6"/>
  <c r="G6" s="1"/>
  <c r="F6" i="51"/>
  <c r="F7"/>
  <c r="F8"/>
  <c r="F9"/>
  <c r="F10"/>
  <c r="F11"/>
  <c r="F12"/>
  <c r="F13"/>
  <c r="F14"/>
  <c r="F15"/>
  <c r="F16"/>
  <c r="F17"/>
  <c r="F18"/>
  <c r="F19"/>
  <c r="F20"/>
  <c r="F5"/>
  <c r="G104" i="53"/>
  <c r="H104" s="1"/>
  <c r="G103"/>
  <c r="H103" s="1"/>
  <c r="H102"/>
  <c r="G102"/>
  <c r="G101"/>
  <c r="H101" s="1"/>
  <c r="H100"/>
  <c r="G100"/>
  <c r="G99"/>
  <c r="H99" s="1"/>
  <c r="H98"/>
  <c r="G98"/>
  <c r="G97"/>
  <c r="H97" s="1"/>
  <c r="H96"/>
  <c r="G96"/>
  <c r="G95"/>
  <c r="H95" s="1"/>
  <c r="H94"/>
  <c r="G94"/>
  <c r="G93"/>
  <c r="H93" s="1"/>
  <c r="H92"/>
  <c r="G92"/>
  <c r="G91"/>
  <c r="H91" s="1"/>
  <c r="H90"/>
  <c r="G90"/>
  <c r="G89"/>
  <c r="H89" s="1"/>
  <c r="H88"/>
  <c r="G88"/>
  <c r="G87"/>
  <c r="H87" s="1"/>
  <c r="H86"/>
  <c r="G86"/>
  <c r="G85"/>
  <c r="H85" s="1"/>
  <c r="H84"/>
  <c r="G84"/>
  <c r="G83"/>
  <c r="H83" s="1"/>
  <c r="H82"/>
  <c r="G82"/>
  <c r="G81"/>
  <c r="H81" s="1"/>
  <c r="H80"/>
  <c r="G80"/>
  <c r="G79"/>
  <c r="H79" s="1"/>
  <c r="H78"/>
  <c r="G78"/>
  <c r="G77"/>
  <c r="H77" s="1"/>
  <c r="H76"/>
  <c r="G76"/>
  <c r="G75"/>
  <c r="H75" s="1"/>
  <c r="G74"/>
  <c r="H74" s="1"/>
  <c r="G73"/>
  <c r="H73" s="1"/>
  <c r="H72"/>
  <c r="G72"/>
  <c r="G71"/>
  <c r="H71" s="1"/>
  <c r="H70"/>
  <c r="G70"/>
  <c r="G69"/>
  <c r="H69" s="1"/>
  <c r="H68"/>
  <c r="G68"/>
  <c r="G67"/>
  <c r="H67" s="1"/>
  <c r="H66"/>
  <c r="G66"/>
  <c r="G65"/>
  <c r="H65" s="1"/>
  <c r="H64"/>
  <c r="G64"/>
  <c r="G63"/>
  <c r="H63" s="1"/>
  <c r="H62"/>
  <c r="G62"/>
  <c r="G61"/>
  <c r="H61" s="1"/>
  <c r="H60"/>
  <c r="G60"/>
  <c r="G59"/>
  <c r="H59" s="1"/>
  <c r="H58"/>
  <c r="G58"/>
  <c r="G57"/>
  <c r="H57" s="1"/>
  <c r="H56"/>
  <c r="G56"/>
  <c r="G55"/>
  <c r="H55" s="1"/>
  <c r="H54"/>
  <c r="G54"/>
  <c r="G53"/>
  <c r="H53" s="1"/>
  <c r="H52"/>
  <c r="G52"/>
  <c r="G51"/>
  <c r="H51" s="1"/>
  <c r="H50"/>
  <c r="G50"/>
  <c r="G49"/>
  <c r="H49" s="1"/>
  <c r="H48"/>
  <c r="G48"/>
  <c r="G47"/>
  <c r="H47" s="1"/>
  <c r="H46"/>
  <c r="G46"/>
  <c r="G45"/>
  <c r="H45" s="1"/>
  <c r="H44"/>
  <c r="G44"/>
  <c r="G43"/>
  <c r="H43" s="1"/>
  <c r="H42"/>
  <c r="G42"/>
  <c r="G41"/>
  <c r="H41" s="1"/>
  <c r="H40"/>
  <c r="G40"/>
  <c r="G39"/>
  <c r="H39" s="1"/>
  <c r="H38"/>
  <c r="G38"/>
  <c r="G37"/>
  <c r="H37" s="1"/>
  <c r="H36"/>
  <c r="G36"/>
  <c r="G35"/>
  <c r="H35" s="1"/>
  <c r="H34"/>
  <c r="G34"/>
  <c r="G33"/>
  <c r="H33" s="1"/>
  <c r="H32"/>
  <c r="G32"/>
  <c r="G31"/>
  <c r="H31" s="1"/>
  <c r="H30"/>
  <c r="G30"/>
  <c r="G29"/>
  <c r="H29" s="1"/>
  <c r="H28"/>
  <c r="G28"/>
  <c r="G27"/>
  <c r="H27" s="1"/>
  <c r="H26"/>
  <c r="G26"/>
  <c r="G25"/>
  <c r="H25" s="1"/>
  <c r="H24"/>
  <c r="G24"/>
  <c r="G23"/>
  <c r="H23" s="1"/>
  <c r="H22"/>
  <c r="G22"/>
  <c r="G21"/>
  <c r="H21" s="1"/>
  <c r="H20"/>
  <c r="G20"/>
  <c r="G19"/>
  <c r="H19" s="1"/>
  <c r="H18"/>
  <c r="G18"/>
  <c r="G17"/>
  <c r="H17" s="1"/>
  <c r="H16"/>
  <c r="G16"/>
  <c r="G15"/>
  <c r="H15" s="1"/>
  <c r="H14"/>
  <c r="G14"/>
  <c r="G13"/>
  <c r="H13" s="1"/>
  <c r="H12"/>
  <c r="G12"/>
  <c r="G11"/>
  <c r="H11" s="1"/>
  <c r="H10"/>
  <c r="G10"/>
  <c r="G9"/>
  <c r="H9" s="1"/>
  <c r="H8"/>
  <c r="G8"/>
  <c r="G7"/>
  <c r="H7" s="1"/>
  <c r="H6"/>
  <c r="G6"/>
  <c r="F6" i="57"/>
  <c r="F7"/>
  <c r="F8"/>
  <c r="F9"/>
  <c r="F10"/>
  <c r="F11"/>
  <c r="F12"/>
  <c r="F13"/>
  <c r="F14"/>
  <c r="F15"/>
  <c r="F16"/>
  <c r="F17"/>
  <c r="F18"/>
  <c r="F19"/>
  <c r="F20"/>
  <c r="F5"/>
  <c r="C13" i="58"/>
  <c r="D13" s="1"/>
  <c r="C12"/>
  <c r="D12" s="1"/>
  <c r="C11"/>
  <c r="D11" s="1"/>
  <c r="C10"/>
  <c r="D10" s="1"/>
  <c r="C9"/>
  <c r="D9" s="1"/>
  <c r="C8"/>
  <c r="D8" s="1"/>
  <c r="C7"/>
  <c r="D7" s="1"/>
  <c r="H6" i="56"/>
  <c r="H7"/>
  <c r="H8"/>
  <c r="H9"/>
  <c r="H10"/>
  <c r="H11"/>
  <c r="H12"/>
  <c r="H13"/>
  <c r="H14"/>
  <c r="H15"/>
  <c r="H16"/>
  <c r="H17"/>
  <c r="H18"/>
  <c r="H19"/>
  <c r="H20"/>
  <c r="H21"/>
  <c r="H22"/>
  <c r="H23"/>
  <c r="H24"/>
  <c r="H25"/>
  <c r="H26"/>
  <c r="H27"/>
  <c r="H28"/>
  <c r="H29"/>
  <c r="H30"/>
  <c r="H31"/>
  <c r="H32"/>
  <c r="H33"/>
  <c r="H34"/>
  <c r="H35"/>
  <c r="H36"/>
  <c r="H37"/>
  <c r="H38"/>
  <c r="H39"/>
  <c r="H40"/>
  <c r="H41"/>
  <c r="H42"/>
  <c r="H44"/>
  <c r="H45"/>
  <c r="H46"/>
  <c r="H47"/>
  <c r="H48"/>
  <c r="H49"/>
  <c r="H50"/>
  <c r="H51"/>
  <c r="H52"/>
  <c r="H53"/>
  <c r="H54"/>
  <c r="H55"/>
  <c r="H56"/>
  <c r="H57"/>
  <c r="H58"/>
  <c r="H59"/>
  <c r="H60"/>
  <c r="H61"/>
  <c r="H62"/>
  <c r="H63"/>
  <c r="H64"/>
  <c r="H65"/>
  <c r="H66"/>
  <c r="H67"/>
  <c r="H68"/>
  <c r="H69"/>
  <c r="H70"/>
  <c r="H71"/>
  <c r="H72"/>
  <c r="H74"/>
  <c r="H75"/>
  <c r="H76"/>
  <c r="H77"/>
  <c r="H78"/>
  <c r="H79"/>
  <c r="H80"/>
  <c r="H81"/>
  <c r="H82"/>
  <c r="H83"/>
  <c r="H84"/>
  <c r="H85"/>
  <c r="H86"/>
  <c r="H87"/>
  <c r="H88"/>
  <c r="H89"/>
  <c r="H90"/>
  <c r="H91"/>
  <c r="H92"/>
  <c r="H93"/>
  <c r="H94"/>
  <c r="H95"/>
  <c r="H96"/>
  <c r="H97"/>
  <c r="H98"/>
  <c r="H99"/>
  <c r="H100"/>
  <c r="H101"/>
  <c r="H102"/>
  <c r="H103"/>
  <c r="H5"/>
  <c r="G6"/>
  <c r="G7"/>
  <c r="G8"/>
  <c r="G9"/>
  <c r="G10"/>
  <c r="G11"/>
  <c r="G12"/>
  <c r="G13"/>
  <c r="G14"/>
  <c r="G15"/>
  <c r="G16"/>
  <c r="G17"/>
  <c r="G18"/>
  <c r="G19"/>
  <c r="G20"/>
  <c r="G21"/>
  <c r="G22"/>
  <c r="G23"/>
  <c r="G24"/>
  <c r="G25"/>
  <c r="G26"/>
  <c r="G27"/>
  <c r="G28"/>
  <c r="G29"/>
  <c r="G30"/>
  <c r="G31"/>
  <c r="G32"/>
  <c r="G33"/>
  <c r="G34"/>
  <c r="G35"/>
  <c r="G36"/>
  <c r="G37"/>
  <c r="G38"/>
  <c r="G39"/>
  <c r="G40"/>
  <c r="G41"/>
  <c r="G42"/>
  <c r="G43"/>
  <c r="H43" s="1"/>
  <c r="G44"/>
  <c r="G45"/>
  <c r="G46"/>
  <c r="G47"/>
  <c r="G48"/>
  <c r="G49"/>
  <c r="G50"/>
  <c r="G51"/>
  <c r="G52"/>
  <c r="G53"/>
  <c r="G54"/>
  <c r="G55"/>
  <c r="G56"/>
  <c r="G57"/>
  <c r="G58"/>
  <c r="G59"/>
  <c r="G60"/>
  <c r="G61"/>
  <c r="G62"/>
  <c r="G63"/>
  <c r="G64"/>
  <c r="G65"/>
  <c r="G66"/>
  <c r="G67"/>
  <c r="G68"/>
  <c r="G69"/>
  <c r="G70"/>
  <c r="G71"/>
  <c r="G72"/>
  <c r="G73"/>
  <c r="H73" s="1"/>
  <c r="G74"/>
  <c r="G75"/>
  <c r="G76"/>
  <c r="G77"/>
  <c r="G78"/>
  <c r="G79"/>
  <c r="G80"/>
  <c r="G81"/>
  <c r="G82"/>
  <c r="G83"/>
  <c r="G84"/>
  <c r="G85"/>
  <c r="G86"/>
  <c r="G87"/>
  <c r="G88"/>
  <c r="G89"/>
  <c r="G90"/>
  <c r="G91"/>
  <c r="G92"/>
  <c r="G93"/>
  <c r="G94"/>
  <c r="G95"/>
  <c r="G96"/>
  <c r="G97"/>
  <c r="G98"/>
  <c r="G99"/>
  <c r="G100"/>
  <c r="G101"/>
  <c r="G102"/>
  <c r="G103"/>
  <c r="G5"/>
  <c r="F13" i="79" l="1"/>
  <c r="G13"/>
  <c r="C14" s="1"/>
  <c r="H4" i="77"/>
  <c r="F6"/>
  <c r="F5"/>
  <c r="F4"/>
  <c r="F5" i="76"/>
  <c r="F4"/>
  <c r="H3" i="74"/>
  <c r="J9" i="71"/>
  <c r="K9"/>
  <c r="K55" i="72"/>
  <c r="L55" s="1"/>
  <c r="L43"/>
  <c r="L12"/>
  <c r="B34" i="71"/>
  <c r="B35" s="1"/>
  <c r="B36" s="1"/>
  <c r="B37" s="1"/>
  <c r="B38" s="1"/>
  <c r="E14" i="79" l="1"/>
  <c r="F14" s="1"/>
  <c r="G14" s="1"/>
  <c r="C15" s="1"/>
  <c r="K57" i="72"/>
  <c r="B14" i="54"/>
  <c r="B15"/>
  <c r="B16"/>
  <c r="B17"/>
  <c r="B18"/>
  <c r="B19"/>
  <c r="B20"/>
  <c r="B13"/>
  <c r="D5" i="52"/>
  <c r="D6"/>
  <c r="D7"/>
  <c r="D8"/>
  <c r="D9"/>
  <c r="D10"/>
  <c r="D11"/>
  <c r="D12"/>
  <c r="D13"/>
  <c r="D14"/>
  <c r="D15"/>
  <c r="D16"/>
  <c r="D17"/>
  <c r="D18"/>
  <c r="D19"/>
  <c r="D20"/>
  <c r="D21"/>
  <c r="D22"/>
  <c r="D23"/>
  <c r="D24"/>
  <c r="D25"/>
  <c r="D26"/>
  <c r="D27"/>
  <c r="D28"/>
  <c r="D29"/>
  <c r="D30"/>
  <c r="D31"/>
  <c r="D32"/>
  <c r="D33"/>
  <c r="D34"/>
  <c r="D35"/>
  <c r="D4"/>
  <c r="C10" i="50"/>
  <c r="C9"/>
  <c r="I13" i="49"/>
  <c r="I15" s="1"/>
  <c r="C7" i="47"/>
  <c r="D7" s="1"/>
  <c r="E7" s="1"/>
  <c r="F7" s="1"/>
  <c r="G7" s="1"/>
  <c r="H7" s="1"/>
  <c r="I7" s="1"/>
  <c r="J7" s="1"/>
  <c r="E13" i="46"/>
  <c r="I15"/>
  <c r="I13"/>
  <c r="D13" i="45"/>
  <c r="D14"/>
  <c r="D15"/>
  <c r="D16"/>
  <c r="D12"/>
  <c r="G6" i="44"/>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5"/>
  <c r="F3" i="33"/>
  <c r="F2"/>
  <c r="F1"/>
  <c r="D121"/>
  <c r="G1" i="34"/>
  <c r="D37"/>
  <c r="E37"/>
  <c r="F37"/>
  <c r="G37"/>
  <c r="H37"/>
  <c r="C37"/>
  <c r="D13" i="35"/>
  <c r="B13"/>
  <c r="I29" i="43"/>
  <c r="I28"/>
  <c r="I27"/>
  <c r="I26"/>
  <c r="I25"/>
  <c r="I24"/>
  <c r="I23"/>
  <c r="F30"/>
  <c r="D30"/>
  <c r="I22"/>
  <c r="I21"/>
  <c r="I20"/>
  <c r="I19"/>
  <c r="I18"/>
  <c r="H30"/>
  <c r="I17"/>
  <c r="I16"/>
  <c r="I15"/>
  <c r="I14"/>
  <c r="I13"/>
  <c r="G30"/>
  <c r="E30"/>
  <c r="C30"/>
  <c r="I12"/>
  <c r="I11"/>
  <c r="I10"/>
  <c r="I9"/>
  <c r="I8"/>
  <c r="H5"/>
  <c r="G5"/>
  <c r="F5"/>
  <c r="E5"/>
  <c r="D5"/>
  <c r="C5"/>
  <c r="D5" i="36"/>
  <c r="E5"/>
  <c r="F5"/>
  <c r="G5"/>
  <c r="H5"/>
  <c r="C5"/>
  <c r="I5"/>
  <c r="C30"/>
  <c r="D30"/>
  <c r="E30"/>
  <c r="F30"/>
  <c r="G30"/>
  <c r="H30"/>
  <c r="I9"/>
  <c r="I10"/>
  <c r="I11"/>
  <c r="I12"/>
  <c r="I13"/>
  <c r="I14"/>
  <c r="I15"/>
  <c r="I16"/>
  <c r="I17"/>
  <c r="I18"/>
  <c r="I19"/>
  <c r="I20"/>
  <c r="I21"/>
  <c r="I22"/>
  <c r="I23"/>
  <c r="I24"/>
  <c r="I25"/>
  <c r="I26"/>
  <c r="I27"/>
  <c r="I28"/>
  <c r="I29"/>
  <c r="I8"/>
  <c r="D121" i="37"/>
  <c r="F3"/>
  <c r="F1"/>
  <c r="F2"/>
  <c r="F33" i="39"/>
  <c r="F28"/>
  <c r="F23"/>
  <c r="F16"/>
  <c r="F11"/>
  <c r="F6"/>
  <c r="G71" i="40"/>
  <c r="G67"/>
  <c r="G73" s="1"/>
  <c r="H66"/>
  <c r="I66" s="1"/>
  <c r="H65"/>
  <c r="I65" s="1"/>
  <c r="H64"/>
  <c r="I64" s="1"/>
  <c r="G54"/>
  <c r="G50"/>
  <c r="G45"/>
  <c r="G34"/>
  <c r="G27"/>
  <c r="G57" s="1"/>
  <c r="G17"/>
  <c r="H15"/>
  <c r="H70" s="1"/>
  <c r="I70" s="1"/>
  <c r="I71" s="1"/>
  <c r="G12"/>
  <c r="G19" s="1"/>
  <c r="H9"/>
  <c r="I9" s="1"/>
  <c r="F12" i="41"/>
  <c r="D12"/>
  <c r="B12"/>
  <c r="F4" i="37" l="1"/>
  <c r="G15" i="79"/>
  <c r="C16" s="1"/>
  <c r="E15"/>
  <c r="F15" s="1"/>
  <c r="K73" i="72"/>
  <c r="L73" s="1"/>
  <c r="L57"/>
  <c r="E18" i="46"/>
  <c r="I17" s="1"/>
  <c r="I19" s="1"/>
  <c r="E13" i="49"/>
  <c r="F18" i="47"/>
  <c r="F20" s="1"/>
  <c r="I5" i="43"/>
  <c r="I30"/>
  <c r="I30" i="36"/>
  <c r="H57" i="40"/>
  <c r="F18" i="39"/>
  <c r="F37" s="1"/>
  <c r="F35"/>
  <c r="G20" i="40"/>
  <c r="I67"/>
  <c r="I73" s="1"/>
  <c r="H10"/>
  <c r="I10" s="1"/>
  <c r="I12" s="1"/>
  <c r="H16"/>
  <c r="I16" s="1"/>
  <c r="H24"/>
  <c r="I24" s="1"/>
  <c r="H26"/>
  <c r="I26" s="1"/>
  <c r="H29"/>
  <c r="I29" s="1"/>
  <c r="H32"/>
  <c r="I32" s="1"/>
  <c r="H37"/>
  <c r="I37" s="1"/>
  <c r="H39"/>
  <c r="I39" s="1"/>
  <c r="H41"/>
  <c r="I41" s="1"/>
  <c r="H49"/>
  <c r="I49" s="1"/>
  <c r="H53"/>
  <c r="I53" s="1"/>
  <c r="I54" s="1"/>
  <c r="H56"/>
  <c r="I56" s="1"/>
  <c r="I15"/>
  <c r="H25"/>
  <c r="I25" s="1"/>
  <c r="H30"/>
  <c r="H33"/>
  <c r="I33" s="1"/>
  <c r="H36"/>
  <c r="I36" s="1"/>
  <c r="H38"/>
  <c r="I38" s="1"/>
  <c r="H40"/>
  <c r="I40" s="1"/>
  <c r="H48"/>
  <c r="I48" s="1"/>
  <c r="I50" s="1"/>
  <c r="G16" i="79" l="1"/>
  <c r="C17" s="1"/>
  <c r="E16"/>
  <c r="F16" s="1"/>
  <c r="E18" i="49"/>
  <c r="I17" s="1"/>
  <c r="I19" s="1"/>
  <c r="I19" i="40"/>
  <c r="I17"/>
  <c r="G59"/>
  <c r="G75" s="1"/>
  <c r="I34"/>
  <c r="H44"/>
  <c r="I44" s="1"/>
  <c r="I45" s="1"/>
  <c r="I30"/>
  <c r="I27"/>
  <c r="E17" i="79" l="1"/>
  <c r="F17" s="1"/>
  <c r="G17" s="1"/>
  <c r="C18" s="1"/>
  <c r="I20" i="40"/>
  <c r="I57"/>
  <c r="I59" s="1"/>
  <c r="I75" s="1"/>
  <c r="D8" i="19"/>
  <c r="D9"/>
  <c r="D10"/>
  <c r="D11"/>
  <c r="D12"/>
  <c r="D13"/>
  <c r="D14"/>
  <c r="D15"/>
  <c r="A4" i="22"/>
  <c r="A6" i="17"/>
  <c r="C11" s="1"/>
  <c r="D11" s="1"/>
  <c r="D7" i="19"/>
  <c r="A5"/>
  <c r="D10" i="1"/>
  <c r="D11"/>
  <c r="D12"/>
  <c r="E20" i="16"/>
  <c r="K20"/>
  <c r="G20"/>
  <c r="C17"/>
  <c r="I20"/>
  <c r="C16"/>
  <c r="D58" i="15"/>
  <c r="D59"/>
  <c r="D60"/>
  <c r="D61"/>
  <c r="D57"/>
  <c r="D56"/>
  <c r="D55"/>
  <c r="E31"/>
  <c r="E30"/>
  <c r="E29"/>
  <c r="E28"/>
  <c r="E27"/>
  <c r="E26"/>
  <c r="E25"/>
  <c r="E24"/>
  <c r="E23"/>
  <c r="E22"/>
  <c r="E21"/>
  <c r="E19"/>
  <c r="E18"/>
  <c r="E17"/>
  <c r="E16"/>
  <c r="E15"/>
  <c r="E14"/>
  <c r="E20"/>
  <c r="E9"/>
  <c r="E4"/>
  <c r="E18" i="79" l="1"/>
  <c r="F18" s="1"/>
  <c r="G18" s="1"/>
  <c r="C19" s="1"/>
  <c r="C8" i="17"/>
  <c r="D8" s="1"/>
  <c r="C10"/>
  <c r="D10" s="1"/>
  <c r="C9"/>
  <c r="D9" s="1"/>
  <c r="C18" i="16"/>
  <c r="C20" s="1"/>
  <c r="G19" i="79" l="1"/>
  <c r="C20" s="1"/>
  <c r="E19"/>
  <c r="F19" s="1"/>
  <c r="I6" i="11"/>
  <c r="F42"/>
  <c r="F41"/>
  <c r="F40"/>
  <c r="F39"/>
  <c r="F38"/>
  <c r="F37"/>
  <c r="F36"/>
  <c r="F35"/>
  <c r="F34"/>
  <c r="F33"/>
  <c r="F32"/>
  <c r="F31"/>
  <c r="F30"/>
  <c r="F29"/>
  <c r="F28"/>
  <c r="F27"/>
  <c r="F26"/>
  <c r="F25"/>
  <c r="F24"/>
  <c r="F23"/>
  <c r="F22"/>
  <c r="F21"/>
  <c r="F20"/>
  <c r="F19"/>
  <c r="F18"/>
  <c r="F17"/>
  <c r="F16"/>
  <c r="C40" i="7"/>
  <c r="C39"/>
  <c r="C38"/>
  <c r="D33"/>
  <c r="D31"/>
  <c r="D29"/>
  <c r="D27"/>
  <c r="D25"/>
  <c r="D19"/>
  <c r="D17"/>
  <c r="K14"/>
  <c r="K18"/>
  <c r="K19"/>
  <c r="K23"/>
  <c r="K27"/>
  <c r="K32"/>
  <c r="K37"/>
  <c r="K42"/>
  <c r="D9"/>
  <c r="D5"/>
  <c r="D13"/>
  <c r="D11"/>
  <c r="D7"/>
  <c r="K43"/>
  <c r="K41"/>
  <c r="K40"/>
  <c r="K39"/>
  <c r="K38"/>
  <c r="K36"/>
  <c r="K35"/>
  <c r="K34"/>
  <c r="K33"/>
  <c r="K31"/>
  <c r="K30"/>
  <c r="K29"/>
  <c r="K28"/>
  <c r="K26"/>
  <c r="K25"/>
  <c r="K24"/>
  <c r="K22"/>
  <c r="K21"/>
  <c r="K20"/>
  <c r="K17"/>
  <c r="K16"/>
  <c r="K15"/>
  <c r="K13"/>
  <c r="K12"/>
  <c r="K11"/>
  <c r="K10"/>
  <c r="K9"/>
  <c r="K8"/>
  <c r="K7"/>
  <c r="K6"/>
  <c r="K5"/>
  <c r="K4"/>
  <c r="I8" i="11"/>
  <c r="I10"/>
  <c r="I4"/>
  <c r="B29" i="6"/>
  <c r="A40" i="4"/>
  <c r="B43"/>
  <c r="A43"/>
  <c r="B32" i="6"/>
  <c r="A32"/>
  <c r="C24"/>
  <c r="B24"/>
  <c r="B21"/>
  <c r="B18"/>
  <c r="B15"/>
  <c r="C11"/>
  <c r="C8"/>
  <c r="A34" i="4"/>
  <c r="B34" s="1"/>
  <c r="A37"/>
  <c r="B37" s="1"/>
  <c r="A31"/>
  <c r="B31" s="1"/>
  <c r="A27"/>
  <c r="C27" s="1"/>
  <c r="A26"/>
  <c r="C26" s="1"/>
  <c r="A23"/>
  <c r="A22"/>
  <c r="A19"/>
  <c r="C19" s="1"/>
  <c r="A18"/>
  <c r="C18" s="1"/>
  <c r="B23" s="1"/>
  <c r="A17"/>
  <c r="C17" s="1"/>
  <c r="B22" s="1"/>
  <c r="A14"/>
  <c r="C14" s="1"/>
  <c r="A10"/>
  <c r="C10" s="1"/>
  <c r="A7"/>
  <c r="C7" s="1"/>
  <c r="B15" i="2"/>
  <c r="B10"/>
  <c r="B23"/>
  <c r="B18" s="1"/>
  <c r="B40"/>
  <c r="B35"/>
  <c r="B32"/>
  <c r="B27" s="1"/>
  <c r="D6" i="1"/>
  <c r="D7"/>
  <c r="D8"/>
  <c r="D9"/>
  <c r="E20" i="79" l="1"/>
  <c r="F20" s="1"/>
  <c r="G20" s="1"/>
  <c r="C21" s="1"/>
  <c r="D15" i="7"/>
  <c r="C23" i="4"/>
  <c r="C22"/>
  <c r="E21" i="79" l="1"/>
  <c r="F21" s="1"/>
  <c r="G21" s="1"/>
  <c r="C22" s="1"/>
  <c r="E22" l="1"/>
  <c r="F22" s="1"/>
  <c r="G22" s="1"/>
  <c r="C23" s="1"/>
  <c r="G23" l="1"/>
  <c r="C24" s="1"/>
  <c r="E23"/>
  <c r="F23" s="1"/>
  <c r="G24" l="1"/>
  <c r="C25" s="1"/>
  <c r="E24"/>
  <c r="F24" s="1"/>
  <c r="E25" l="1"/>
  <c r="F25" s="1"/>
  <c r="G25" s="1"/>
  <c r="C26" s="1"/>
  <c r="E26" l="1"/>
  <c r="F26" s="1"/>
  <c r="G26" s="1"/>
  <c r="C27" s="1"/>
  <c r="G27" l="1"/>
  <c r="C28" s="1"/>
  <c r="E27"/>
  <c r="F27" s="1"/>
  <c r="G28" l="1"/>
  <c r="C29" s="1"/>
  <c r="E28"/>
  <c r="F28" s="1"/>
  <c r="E29" l="1"/>
  <c r="F29" s="1"/>
  <c r="G29" s="1"/>
  <c r="C30" s="1"/>
  <c r="E30" l="1"/>
  <c r="F30" s="1"/>
  <c r="G30" s="1"/>
  <c r="C31" s="1"/>
  <c r="G31" l="1"/>
  <c r="C32" s="1"/>
  <c r="E31"/>
  <c r="F31" s="1"/>
  <c r="G32" l="1"/>
  <c r="C33" s="1"/>
  <c r="E32"/>
  <c r="F32" s="1"/>
  <c r="E33" l="1"/>
  <c r="F33" s="1"/>
  <c r="G33" s="1"/>
  <c r="C34" s="1"/>
  <c r="E34" l="1"/>
  <c r="F34" s="1"/>
  <c r="G34" s="1"/>
  <c r="C35" s="1"/>
  <c r="G35" l="1"/>
  <c r="C36" s="1"/>
  <c r="E35"/>
  <c r="F35" s="1"/>
  <c r="G36" l="1"/>
  <c r="C37" s="1"/>
  <c r="E36"/>
  <c r="F36" s="1"/>
  <c r="E37" l="1"/>
  <c r="F37" s="1"/>
  <c r="G37" s="1"/>
  <c r="C38" s="1"/>
  <c r="E38" l="1"/>
  <c r="F38" s="1"/>
  <c r="G38" s="1"/>
  <c r="C39" s="1"/>
  <c r="E39" l="1"/>
  <c r="F39" s="1"/>
  <c r="G39" s="1"/>
  <c r="C40" s="1"/>
  <c r="G40" l="1"/>
  <c r="C41" s="1"/>
  <c r="E40"/>
  <c r="F40" s="1"/>
  <c r="E41" l="1"/>
  <c r="F41" s="1"/>
  <c r="G41" s="1"/>
  <c r="C42" s="1"/>
  <c r="E42" l="1"/>
  <c r="F42" s="1"/>
  <c r="G42" s="1"/>
  <c r="C43" s="1"/>
  <c r="G43" l="1"/>
  <c r="C44" s="1"/>
  <c r="E43"/>
  <c r="F43" s="1"/>
  <c r="G44" l="1"/>
  <c r="C45" s="1"/>
  <c r="E44"/>
  <c r="F44" s="1"/>
  <c r="E45" l="1"/>
  <c r="F45" s="1"/>
  <c r="G45" s="1"/>
  <c r="C46" s="1"/>
  <c r="E46" l="1"/>
  <c r="F46" s="1"/>
  <c r="G46" s="1"/>
  <c r="C47" s="1"/>
  <c r="G47" l="1"/>
  <c r="C48" s="1"/>
  <c r="E47"/>
  <c r="F47" s="1"/>
  <c r="E48" l="1"/>
  <c r="F48" s="1"/>
  <c r="G48" s="1"/>
  <c r="C49" s="1"/>
  <c r="E49" l="1"/>
  <c r="F49" s="1"/>
  <c r="G49" s="1"/>
  <c r="C50" s="1"/>
  <c r="E50" l="1"/>
  <c r="F50" s="1"/>
  <c r="G50" s="1"/>
  <c r="C51" s="1"/>
  <c r="G51" l="1"/>
  <c r="C52" s="1"/>
  <c r="E51"/>
  <c r="F51" s="1"/>
  <c r="G52" l="1"/>
  <c r="C53" s="1"/>
  <c r="E52"/>
  <c r="F52" s="1"/>
  <c r="E53" l="1"/>
  <c r="F53" s="1"/>
  <c r="G53" s="1"/>
  <c r="C54" s="1"/>
  <c r="E54" l="1"/>
  <c r="F54" s="1"/>
  <c r="G54" s="1"/>
  <c r="C55" s="1"/>
  <c r="G55" l="1"/>
  <c r="C56" s="1"/>
  <c r="E55"/>
  <c r="F55" s="1"/>
  <c r="G56" l="1"/>
  <c r="C57" s="1"/>
  <c r="E56"/>
  <c r="F56" s="1"/>
  <c r="E57" l="1"/>
  <c r="F57" s="1"/>
  <c r="G57" s="1"/>
  <c r="C58" s="1"/>
  <c r="E58" l="1"/>
  <c r="F58" s="1"/>
  <c r="G58" s="1"/>
  <c r="C59" s="1"/>
  <c r="G59" l="1"/>
  <c r="C60" s="1"/>
  <c r="E59"/>
  <c r="F59" s="1"/>
  <c r="E60" l="1"/>
  <c r="F60" s="1"/>
  <c r="G60" s="1"/>
  <c r="C61" s="1"/>
  <c r="E61" l="1"/>
  <c r="F61" s="1"/>
  <c r="G61" s="1"/>
  <c r="C62" s="1"/>
  <c r="E62" l="1"/>
  <c r="F62" s="1"/>
  <c r="G62" s="1"/>
  <c r="C63" s="1"/>
  <c r="G63" l="1"/>
  <c r="C64" s="1"/>
  <c r="E63"/>
  <c r="F63" s="1"/>
  <c r="G64" l="1"/>
  <c r="C65" s="1"/>
  <c r="E64"/>
  <c r="F64" s="1"/>
  <c r="E65" l="1"/>
  <c r="F65" s="1"/>
  <c r="G65" s="1"/>
  <c r="C66" s="1"/>
  <c r="E66" l="1"/>
  <c r="F66" s="1"/>
  <c r="G66" s="1"/>
  <c r="C67" s="1"/>
  <c r="G67" l="1"/>
  <c r="C68" s="1"/>
  <c r="E67"/>
  <c r="F67" s="1"/>
  <c r="G68" l="1"/>
  <c r="C69" s="1"/>
  <c r="E68"/>
  <c r="F68" s="1"/>
  <c r="E69" l="1"/>
  <c r="F69" s="1"/>
  <c r="G69" s="1"/>
  <c r="C70" s="1"/>
  <c r="E70" l="1"/>
  <c r="F70" s="1"/>
  <c r="G70" s="1"/>
  <c r="C71" s="1"/>
  <c r="G71" l="1"/>
  <c r="C72" s="1"/>
  <c r="E71"/>
  <c r="F71" s="1"/>
  <c r="G72" l="1"/>
  <c r="C73" s="1"/>
  <c r="E72"/>
  <c r="F72" s="1"/>
  <c r="E73" l="1"/>
  <c r="F73" s="1"/>
  <c r="G73" s="1"/>
  <c r="C74" s="1"/>
  <c r="E74" l="1"/>
  <c r="F74" s="1"/>
  <c r="G74" s="1"/>
  <c r="C75" s="1"/>
  <c r="G75" l="1"/>
  <c r="C76" s="1"/>
  <c r="E75"/>
  <c r="F75" s="1"/>
  <c r="G76" l="1"/>
  <c r="C77" s="1"/>
  <c r="E76"/>
  <c r="F76" s="1"/>
  <c r="E77" l="1"/>
  <c r="F77" s="1"/>
  <c r="G77" s="1"/>
  <c r="C78" s="1"/>
  <c r="E78" l="1"/>
  <c r="F78" s="1"/>
  <c r="G78" s="1"/>
  <c r="C79" s="1"/>
  <c r="G79" l="1"/>
  <c r="C80" s="1"/>
  <c r="E79"/>
  <c r="F79" s="1"/>
  <c r="E80" l="1"/>
  <c r="F80" s="1"/>
  <c r="G80" s="1"/>
  <c r="C81" s="1"/>
  <c r="E81" l="1"/>
  <c r="F81" s="1"/>
  <c r="G81" s="1"/>
  <c r="C82" s="1"/>
  <c r="E82" l="1"/>
  <c r="F82" s="1"/>
  <c r="G82" s="1"/>
  <c r="C83" s="1"/>
  <c r="E83" l="1"/>
  <c r="F83" s="1"/>
  <c r="G83" s="1"/>
  <c r="C84" s="1"/>
  <c r="E84" l="1"/>
  <c r="F84" s="1"/>
  <c r="G84" s="1"/>
  <c r="C85" s="1"/>
  <c r="E85" l="1"/>
  <c r="F85" s="1"/>
  <c r="G85" s="1"/>
  <c r="C86" s="1"/>
  <c r="E86" l="1"/>
  <c r="F86" s="1"/>
  <c r="G86" s="1"/>
  <c r="C87" s="1"/>
  <c r="E87" l="1"/>
  <c r="F87" s="1"/>
  <c r="G87" s="1"/>
  <c r="C88" s="1"/>
  <c r="G88" l="1"/>
  <c r="C89" s="1"/>
  <c r="E88"/>
  <c r="F88" s="1"/>
  <c r="E89" l="1"/>
  <c r="F89" s="1"/>
  <c r="G89" s="1"/>
  <c r="C90" s="1"/>
  <c r="E90" l="1"/>
  <c r="F90" s="1"/>
  <c r="G90" s="1"/>
  <c r="C91" s="1"/>
  <c r="G91" l="1"/>
  <c r="C92" s="1"/>
  <c r="E91"/>
  <c r="F91" s="1"/>
  <c r="G92" l="1"/>
  <c r="C93" s="1"/>
  <c r="E92"/>
  <c r="F92" s="1"/>
  <c r="E93" l="1"/>
  <c r="F93" s="1"/>
  <c r="G93" s="1"/>
  <c r="C94" s="1"/>
  <c r="E94" l="1"/>
  <c r="F94" s="1"/>
  <c r="G94" s="1"/>
  <c r="C95" s="1"/>
  <c r="G95" l="1"/>
  <c r="C96" s="1"/>
  <c r="E95"/>
  <c r="F95" s="1"/>
  <c r="G96" l="1"/>
  <c r="C97" s="1"/>
  <c r="E96"/>
  <c r="F96" s="1"/>
  <c r="E97" l="1"/>
  <c r="F97" s="1"/>
  <c r="G97" s="1"/>
  <c r="C98" s="1"/>
  <c r="E98" l="1"/>
  <c r="F98" s="1"/>
  <c r="G98" s="1"/>
  <c r="C99" s="1"/>
  <c r="G99" l="1"/>
  <c r="C100" s="1"/>
  <c r="E99"/>
  <c r="F99" s="1"/>
  <c r="G100" l="1"/>
  <c r="C101" s="1"/>
  <c r="E100"/>
  <c r="F100" s="1"/>
  <c r="E101" l="1"/>
  <c r="F101" s="1"/>
  <c r="G101" s="1"/>
  <c r="C102" s="1"/>
  <c r="E102" l="1"/>
  <c r="F102" s="1"/>
  <c r="G102" s="1"/>
  <c r="C103" s="1"/>
  <c r="G103" l="1"/>
  <c r="C104" s="1"/>
  <c r="E103"/>
  <c r="F103" s="1"/>
  <c r="G104" l="1"/>
  <c r="C105" s="1"/>
  <c r="E104"/>
  <c r="F104" s="1"/>
  <c r="E105" l="1"/>
  <c r="F105" s="1"/>
  <c r="G105" s="1"/>
  <c r="C106" s="1"/>
  <c r="E106" l="1"/>
  <c r="F106" s="1"/>
  <c r="G106" s="1"/>
  <c r="C107" s="1"/>
  <c r="G107" l="1"/>
  <c r="C108" s="1"/>
  <c r="E107"/>
  <c r="F107" s="1"/>
  <c r="G108" l="1"/>
  <c r="C109" s="1"/>
  <c r="E108"/>
  <c r="F108" s="1"/>
  <c r="E109" l="1"/>
  <c r="F109" s="1"/>
  <c r="G109" s="1"/>
  <c r="C110" s="1"/>
  <c r="E110" l="1"/>
  <c r="F110" s="1"/>
  <c r="G110" s="1"/>
  <c r="C111" s="1"/>
  <c r="G111" l="1"/>
  <c r="C112" s="1"/>
  <c r="E111"/>
  <c r="F111" s="1"/>
  <c r="G112" l="1"/>
  <c r="C113" s="1"/>
  <c r="E112"/>
  <c r="F112" s="1"/>
  <c r="E113" l="1"/>
  <c r="F113" s="1"/>
  <c r="G113" s="1"/>
  <c r="C114" s="1"/>
  <c r="E114" l="1"/>
  <c r="F114" s="1"/>
  <c r="G114" s="1"/>
  <c r="C115" s="1"/>
  <c r="G115" l="1"/>
  <c r="C116" s="1"/>
  <c r="E115"/>
  <c r="F115" s="1"/>
  <c r="G116" l="1"/>
  <c r="C117" s="1"/>
  <c r="E116"/>
  <c r="F116" s="1"/>
  <c r="E117" l="1"/>
  <c r="F117" s="1"/>
  <c r="G117" s="1"/>
  <c r="C118" s="1"/>
  <c r="E118" l="1"/>
  <c r="F118" s="1"/>
  <c r="G118" s="1"/>
  <c r="C119" s="1"/>
  <c r="G119" l="1"/>
  <c r="C120" s="1"/>
  <c r="E119"/>
  <c r="F119" s="1"/>
  <c r="G120" l="1"/>
  <c r="C121" s="1"/>
  <c r="E120"/>
  <c r="F120" s="1"/>
  <c r="E121" l="1"/>
  <c r="F121" s="1"/>
  <c r="G121" s="1"/>
  <c r="C122" s="1"/>
  <c r="E122" l="1"/>
  <c r="F122" s="1"/>
  <c r="G122" s="1"/>
  <c r="C123" s="1"/>
  <c r="G123" l="1"/>
  <c r="C124" s="1"/>
  <c r="E123"/>
  <c r="F123" s="1"/>
  <c r="G124" l="1"/>
  <c r="C125" s="1"/>
  <c r="E124"/>
  <c r="F124" s="1"/>
  <c r="E125" l="1"/>
  <c r="F125" s="1"/>
  <c r="G125" s="1"/>
  <c r="C126" s="1"/>
  <c r="E126" l="1"/>
  <c r="F126" s="1"/>
  <c r="G126" s="1"/>
  <c r="C127" s="1"/>
  <c r="G127" l="1"/>
  <c r="C128" s="1"/>
  <c r="E127"/>
  <c r="F127" s="1"/>
  <c r="G128" l="1"/>
  <c r="C129" s="1"/>
  <c r="E128"/>
  <c r="F128" s="1"/>
  <c r="E129" l="1"/>
  <c r="F129" s="1"/>
  <c r="G129" s="1"/>
  <c r="C130" s="1"/>
  <c r="E130" l="1"/>
  <c r="F130" s="1"/>
  <c r="G130" s="1"/>
  <c r="C131" s="1"/>
  <c r="G131" l="1"/>
  <c r="C132" s="1"/>
  <c r="E131"/>
  <c r="F131" s="1"/>
  <c r="G132" l="1"/>
  <c r="C133" s="1"/>
  <c r="E132"/>
  <c r="F132" s="1"/>
  <c r="E133" l="1"/>
  <c r="F133" s="1"/>
  <c r="G133" s="1"/>
  <c r="C134" s="1"/>
  <c r="E134" l="1"/>
  <c r="F134" s="1"/>
  <c r="G134" s="1"/>
  <c r="C135" s="1"/>
  <c r="G135" l="1"/>
  <c r="C136" s="1"/>
  <c r="E135"/>
  <c r="F135" s="1"/>
  <c r="G136" l="1"/>
  <c r="C137" s="1"/>
  <c r="E136"/>
  <c r="F136" s="1"/>
  <c r="E137" l="1"/>
  <c r="F137" s="1"/>
  <c r="G137" s="1"/>
  <c r="C138" s="1"/>
  <c r="E138" l="1"/>
  <c r="F138" s="1"/>
  <c r="G138" s="1"/>
  <c r="C139" s="1"/>
  <c r="G139" l="1"/>
  <c r="C140" s="1"/>
  <c r="E139"/>
  <c r="F139" s="1"/>
  <c r="G140" l="1"/>
  <c r="C141" s="1"/>
  <c r="E140"/>
  <c r="F140" s="1"/>
  <c r="E141" l="1"/>
  <c r="F141" s="1"/>
  <c r="G141" s="1"/>
  <c r="C142" s="1"/>
  <c r="E142" l="1"/>
  <c r="F142" s="1"/>
  <c r="G142" s="1"/>
  <c r="C143" s="1"/>
  <c r="G143" l="1"/>
  <c r="C144" s="1"/>
  <c r="E143"/>
  <c r="F143" s="1"/>
  <c r="G144" l="1"/>
  <c r="C145" s="1"/>
  <c r="E144"/>
  <c r="F144" s="1"/>
  <c r="E145" l="1"/>
  <c r="F145" s="1"/>
  <c r="G145" s="1"/>
  <c r="C146" s="1"/>
  <c r="E146" l="1"/>
  <c r="F146" s="1"/>
  <c r="G146" s="1"/>
  <c r="C147" s="1"/>
  <c r="G147" l="1"/>
  <c r="C148" s="1"/>
  <c r="E147"/>
  <c r="F147" s="1"/>
  <c r="G148" l="1"/>
  <c r="C149" s="1"/>
  <c r="E148"/>
  <c r="F148" s="1"/>
  <c r="E149" l="1"/>
  <c r="F149" s="1"/>
  <c r="G149" s="1"/>
  <c r="C150" s="1"/>
  <c r="E150" l="1"/>
  <c r="F150" s="1"/>
  <c r="G150" s="1"/>
  <c r="C151" s="1"/>
  <c r="G151" l="1"/>
  <c r="C152" s="1"/>
  <c r="E151"/>
  <c r="F151" s="1"/>
  <c r="G152" l="1"/>
  <c r="C153" s="1"/>
  <c r="E152"/>
  <c r="F152" s="1"/>
  <c r="E153" l="1"/>
  <c r="F153" s="1"/>
  <c r="G153" s="1"/>
  <c r="C154" s="1"/>
  <c r="E154" l="1"/>
  <c r="F154" s="1"/>
  <c r="G154" s="1"/>
  <c r="C155" s="1"/>
  <c r="G155" l="1"/>
  <c r="C156" s="1"/>
  <c r="E155"/>
  <c r="F155" s="1"/>
  <c r="G156" l="1"/>
  <c r="C157" s="1"/>
  <c r="E156"/>
  <c r="F156" s="1"/>
  <c r="E157" l="1"/>
  <c r="F157" s="1"/>
  <c r="G157" s="1"/>
  <c r="C158" s="1"/>
  <c r="E158" l="1"/>
  <c r="F158" s="1"/>
  <c r="G158" s="1"/>
  <c r="C159" s="1"/>
  <c r="G159" l="1"/>
  <c r="C160" s="1"/>
  <c r="E159"/>
  <c r="F159" s="1"/>
  <c r="G160" l="1"/>
  <c r="C161" s="1"/>
  <c r="E160"/>
  <c r="F160" s="1"/>
  <c r="E161" l="1"/>
  <c r="F161" s="1"/>
  <c r="G161" s="1"/>
  <c r="C162" s="1"/>
  <c r="E162" l="1"/>
  <c r="F162" s="1"/>
  <c r="G162" s="1"/>
  <c r="C163" s="1"/>
  <c r="E163" l="1"/>
  <c r="F163" s="1"/>
  <c r="G163" s="1"/>
  <c r="C164" s="1"/>
  <c r="E164" l="1"/>
  <c r="F164" s="1"/>
  <c r="G164" s="1"/>
  <c r="C165" s="1"/>
  <c r="E165" l="1"/>
  <c r="F165" s="1"/>
  <c r="G165" s="1"/>
  <c r="C166" s="1"/>
  <c r="E166" l="1"/>
  <c r="F166" s="1"/>
  <c r="G166" s="1"/>
  <c r="C167" s="1"/>
  <c r="E167" l="1"/>
  <c r="F167" s="1"/>
  <c r="G167" s="1"/>
  <c r="C168" s="1"/>
  <c r="E168" l="1"/>
  <c r="F168" s="1"/>
  <c r="G168" s="1"/>
  <c r="C169" s="1"/>
  <c r="E169" l="1"/>
  <c r="F169" s="1"/>
  <c r="G169" s="1"/>
  <c r="C170" s="1"/>
  <c r="E170" l="1"/>
  <c r="F170" s="1"/>
  <c r="G170" s="1"/>
  <c r="C171" s="1"/>
  <c r="G171" l="1"/>
  <c r="C172" s="1"/>
  <c r="E171"/>
  <c r="F171" s="1"/>
  <c r="G172" l="1"/>
  <c r="C173" s="1"/>
  <c r="E172"/>
  <c r="F172" s="1"/>
  <c r="E173" l="1"/>
  <c r="F173" s="1"/>
  <c r="G173"/>
  <c r="C174" s="1"/>
  <c r="E174" l="1"/>
  <c r="F174" s="1"/>
  <c r="G174" s="1"/>
  <c r="C175" s="1"/>
  <c r="G175" l="1"/>
  <c r="C176" s="1"/>
  <c r="E175"/>
  <c r="F175" s="1"/>
  <c r="G176" l="1"/>
  <c r="C177" s="1"/>
  <c r="E176"/>
  <c r="F176" s="1"/>
  <c r="E177" l="1"/>
  <c r="F177" s="1"/>
  <c r="G177" s="1"/>
  <c r="C178" s="1"/>
  <c r="E178" l="1"/>
  <c r="F178" s="1"/>
  <c r="G178" s="1"/>
  <c r="C179" s="1"/>
  <c r="G179" l="1"/>
  <c r="C180" s="1"/>
  <c r="E179"/>
  <c r="F179" s="1"/>
  <c r="G180" l="1"/>
  <c r="C181" s="1"/>
  <c r="E180"/>
  <c r="F180" s="1"/>
  <c r="E181" l="1"/>
  <c r="F181" s="1"/>
  <c r="G181" s="1"/>
  <c r="C182" s="1"/>
  <c r="E182" l="1"/>
  <c r="F182" s="1"/>
  <c r="G182" s="1"/>
  <c r="C183" s="1"/>
  <c r="G183" l="1"/>
  <c r="C184" s="1"/>
  <c r="E183"/>
  <c r="F183" s="1"/>
  <c r="G184" l="1"/>
  <c r="C185" s="1"/>
  <c r="E184"/>
  <c r="F184" s="1"/>
  <c r="E185" l="1"/>
  <c r="F185" s="1"/>
  <c r="G185" s="1"/>
  <c r="C186" s="1"/>
  <c r="E186" l="1"/>
  <c r="F186" s="1"/>
  <c r="G186" s="1"/>
  <c r="C187" s="1"/>
  <c r="G187" l="1"/>
  <c r="C188" s="1"/>
  <c r="E187"/>
  <c r="F187" s="1"/>
  <c r="G188" l="1"/>
  <c r="C189" s="1"/>
  <c r="E188"/>
  <c r="F188" s="1"/>
  <c r="E189" l="1"/>
  <c r="F189" s="1"/>
  <c r="G189" s="1"/>
  <c r="C190" s="1"/>
  <c r="E190" l="1"/>
  <c r="F190" s="1"/>
  <c r="G190" s="1"/>
  <c r="C191" s="1"/>
  <c r="G191" l="1"/>
  <c r="C192" s="1"/>
  <c r="E191"/>
  <c r="F191" s="1"/>
  <c r="G192" l="1"/>
  <c r="C193" s="1"/>
  <c r="E192"/>
  <c r="F192" s="1"/>
  <c r="E193" l="1"/>
  <c r="F193" s="1"/>
  <c r="G193" s="1"/>
  <c r="C194" s="1"/>
  <c r="E194" l="1"/>
  <c r="F194" s="1"/>
  <c r="G194" s="1"/>
  <c r="C195" s="1"/>
  <c r="G195" l="1"/>
  <c r="C196" s="1"/>
  <c r="E195"/>
  <c r="F195" s="1"/>
  <c r="G196" l="1"/>
  <c r="C197" s="1"/>
  <c r="E196"/>
  <c r="F196" s="1"/>
  <c r="E197" l="1"/>
  <c r="F197" s="1"/>
  <c r="G197" s="1"/>
  <c r="C198" s="1"/>
  <c r="E198" l="1"/>
  <c r="F198" s="1"/>
  <c r="G198" s="1"/>
  <c r="C199" s="1"/>
  <c r="G199" l="1"/>
  <c r="C200" s="1"/>
  <c r="E199"/>
  <c r="F199" s="1"/>
  <c r="G200" l="1"/>
  <c r="C201" s="1"/>
  <c r="E200"/>
  <c r="F200" s="1"/>
  <c r="E201" l="1"/>
  <c r="F201" s="1"/>
  <c r="G201" s="1"/>
  <c r="C202" s="1"/>
  <c r="E202" l="1"/>
  <c r="F202" s="1"/>
  <c r="G202" s="1"/>
  <c r="C203" s="1"/>
  <c r="G203" l="1"/>
  <c r="C204" s="1"/>
  <c r="E203"/>
  <c r="F203" s="1"/>
  <c r="G204" l="1"/>
  <c r="C205" s="1"/>
  <c r="E204"/>
  <c r="F204" s="1"/>
  <c r="E205" l="1"/>
  <c r="F205" s="1"/>
  <c r="G205" s="1"/>
  <c r="C206" s="1"/>
  <c r="E206" l="1"/>
  <c r="F206" s="1"/>
  <c r="G206" s="1"/>
  <c r="C207" s="1"/>
  <c r="G207" l="1"/>
  <c r="C208" s="1"/>
  <c r="E207"/>
  <c r="F207" s="1"/>
  <c r="G208" l="1"/>
  <c r="C209" s="1"/>
  <c r="E208"/>
  <c r="F208" s="1"/>
  <c r="E209" l="1"/>
  <c r="F209" s="1"/>
  <c r="G209" s="1"/>
  <c r="C210" s="1"/>
  <c r="E210" l="1"/>
  <c r="F210" s="1"/>
  <c r="G210" s="1"/>
  <c r="C211" s="1"/>
  <c r="G211" l="1"/>
  <c r="C212" s="1"/>
  <c r="E211"/>
  <c r="F211" s="1"/>
  <c r="G212" l="1"/>
  <c r="C213" s="1"/>
  <c r="E212"/>
  <c r="F212" s="1"/>
  <c r="E213" l="1"/>
  <c r="F213" s="1"/>
  <c r="G213" s="1"/>
  <c r="C214" s="1"/>
  <c r="E214" l="1"/>
  <c r="F214" s="1"/>
  <c r="G214" s="1"/>
  <c r="C215" s="1"/>
  <c r="G215" l="1"/>
  <c r="C216" s="1"/>
  <c r="E215"/>
  <c r="F215" s="1"/>
  <c r="G216" l="1"/>
  <c r="C217" s="1"/>
  <c r="E216"/>
  <c r="F216" s="1"/>
  <c r="E217" l="1"/>
  <c r="F217" s="1"/>
  <c r="G217" s="1"/>
  <c r="C218" s="1"/>
  <c r="E218" l="1"/>
  <c r="F218" s="1"/>
  <c r="G218" s="1"/>
  <c r="C219" s="1"/>
  <c r="G219" l="1"/>
  <c r="C220" s="1"/>
  <c r="E219"/>
  <c r="F219" s="1"/>
  <c r="G220" l="1"/>
  <c r="C221" s="1"/>
  <c r="E220"/>
  <c r="F220" s="1"/>
  <c r="E221" l="1"/>
  <c r="F221" s="1"/>
  <c r="G221" s="1"/>
  <c r="C222" s="1"/>
  <c r="E222" l="1"/>
  <c r="F222" s="1"/>
  <c r="G222" s="1"/>
  <c r="C223" s="1"/>
  <c r="G223" l="1"/>
  <c r="C224" s="1"/>
  <c r="E223"/>
  <c r="F223" s="1"/>
  <c r="G224" l="1"/>
  <c r="C225" s="1"/>
  <c r="E224"/>
  <c r="F224" s="1"/>
  <c r="E225" l="1"/>
  <c r="F225" s="1"/>
  <c r="G225" s="1"/>
  <c r="C226" s="1"/>
  <c r="E226" l="1"/>
  <c r="F226" s="1"/>
  <c r="G226" s="1"/>
  <c r="C227" s="1"/>
  <c r="G227" l="1"/>
  <c r="C228" s="1"/>
  <c r="E227"/>
  <c r="F227" s="1"/>
  <c r="G228" l="1"/>
  <c r="C229" s="1"/>
  <c r="E228"/>
  <c r="F228" s="1"/>
  <c r="E229" l="1"/>
  <c r="F229" s="1"/>
  <c r="G229" s="1"/>
  <c r="C230" s="1"/>
  <c r="E230" l="1"/>
  <c r="F230" s="1"/>
  <c r="G230" s="1"/>
  <c r="C231" s="1"/>
  <c r="G231" l="1"/>
  <c r="C232" s="1"/>
  <c r="E231"/>
  <c r="F231" s="1"/>
  <c r="G232" l="1"/>
  <c r="C233" s="1"/>
  <c r="E232"/>
  <c r="F232" s="1"/>
  <c r="E233" l="1"/>
  <c r="F233" s="1"/>
  <c r="G233" s="1"/>
  <c r="C234" s="1"/>
  <c r="E234" l="1"/>
  <c r="F234" s="1"/>
  <c r="G234" s="1"/>
  <c r="C235" s="1"/>
  <c r="G235" l="1"/>
  <c r="C236" s="1"/>
  <c r="E235"/>
  <c r="F235" s="1"/>
  <c r="G236" l="1"/>
  <c r="C237" s="1"/>
  <c r="E236"/>
  <c r="F236" s="1"/>
  <c r="E237" l="1"/>
  <c r="F237" s="1"/>
  <c r="G237" s="1"/>
  <c r="C238" s="1"/>
  <c r="E238" l="1"/>
  <c r="F238" s="1"/>
  <c r="G238" s="1"/>
  <c r="C239" s="1"/>
  <c r="G239" l="1"/>
  <c r="C240" s="1"/>
  <c r="E239"/>
  <c r="F239" s="1"/>
  <c r="G240" l="1"/>
  <c r="C241" s="1"/>
  <c r="E240"/>
  <c r="F240" s="1"/>
  <c r="E241" l="1"/>
  <c r="F241" s="1"/>
  <c r="G241"/>
  <c r="C242" s="1"/>
  <c r="E242" l="1"/>
  <c r="F242" s="1"/>
  <c r="G242" s="1"/>
  <c r="C243" s="1"/>
  <c r="G243" l="1"/>
  <c r="C244" s="1"/>
  <c r="E243"/>
  <c r="F243" s="1"/>
  <c r="G244" l="1"/>
  <c r="C245" s="1"/>
  <c r="E244"/>
  <c r="F244" s="1"/>
  <c r="E245" l="1"/>
  <c r="F245" s="1"/>
  <c r="G245" s="1"/>
  <c r="C246" s="1"/>
  <c r="E246" l="1"/>
  <c r="F246" s="1"/>
  <c r="G246" s="1"/>
  <c r="C247" s="1"/>
  <c r="G247" l="1"/>
  <c r="C248" s="1"/>
  <c r="E247"/>
  <c r="F247" s="1"/>
  <c r="G248" l="1"/>
  <c r="C249" s="1"/>
  <c r="E248"/>
  <c r="F248" s="1"/>
  <c r="E249" l="1"/>
  <c r="F249" s="1"/>
  <c r="G249" s="1"/>
  <c r="C250" s="1"/>
  <c r="E250" l="1"/>
  <c r="F250" s="1"/>
  <c r="G250" s="1"/>
  <c r="C251" s="1"/>
  <c r="G251" l="1"/>
  <c r="C252" s="1"/>
  <c r="E251"/>
  <c r="F251" s="1"/>
  <c r="G252" l="1"/>
  <c r="C253" s="1"/>
  <c r="E252"/>
  <c r="F252" s="1"/>
  <c r="E253" l="1"/>
  <c r="F253" s="1"/>
  <c r="G253" s="1"/>
  <c r="C254" s="1"/>
  <c r="E254" l="1"/>
  <c r="F254" s="1"/>
  <c r="G254" s="1"/>
  <c r="C255" s="1"/>
  <c r="G255" l="1"/>
  <c r="C256" s="1"/>
  <c r="E255"/>
  <c r="F255" s="1"/>
  <c r="E256" l="1"/>
  <c r="F256" s="1"/>
  <c r="G256" s="1"/>
  <c r="C257" s="1"/>
  <c r="E257" l="1"/>
  <c r="F257" s="1"/>
  <c r="G257" s="1"/>
  <c r="C258" s="1"/>
  <c r="E258" l="1"/>
  <c r="F258" s="1"/>
  <c r="G258" s="1"/>
  <c r="C259" s="1"/>
  <c r="G259" l="1"/>
  <c r="C260" s="1"/>
  <c r="E259"/>
  <c r="F259" s="1"/>
  <c r="G260" l="1"/>
  <c r="C261" s="1"/>
  <c r="E260"/>
  <c r="F260" s="1"/>
  <c r="E261" l="1"/>
  <c r="F261" s="1"/>
  <c r="G261" s="1"/>
  <c r="C262" s="1"/>
  <c r="E262" l="1"/>
  <c r="F262" s="1"/>
  <c r="G262" s="1"/>
  <c r="C263" s="1"/>
  <c r="G263" l="1"/>
  <c r="C264" s="1"/>
  <c r="E263"/>
  <c r="F263" s="1"/>
  <c r="G264" l="1"/>
  <c r="C265" s="1"/>
  <c r="E264"/>
  <c r="F264" s="1"/>
  <c r="E265" l="1"/>
  <c r="F265" s="1"/>
  <c r="G265" s="1"/>
  <c r="C266" s="1"/>
  <c r="E266" l="1"/>
  <c r="F266" s="1"/>
  <c r="G266" s="1"/>
  <c r="C267" s="1"/>
  <c r="G267" l="1"/>
  <c r="C268" s="1"/>
  <c r="E267"/>
  <c r="F267" s="1"/>
  <c r="G268" l="1"/>
  <c r="C269" s="1"/>
  <c r="E268"/>
  <c r="F268" s="1"/>
  <c r="E269" l="1"/>
  <c r="F269" s="1"/>
  <c r="G269" s="1"/>
  <c r="C270" s="1"/>
  <c r="E270" l="1"/>
  <c r="F270" s="1"/>
  <c r="G270" s="1"/>
  <c r="C271" s="1"/>
  <c r="G271" l="1"/>
  <c r="C272" s="1"/>
  <c r="E271"/>
  <c r="F271" s="1"/>
  <c r="G272" l="1"/>
  <c r="C273" s="1"/>
  <c r="E272"/>
  <c r="F272" s="1"/>
  <c r="E273" l="1"/>
  <c r="F273" s="1"/>
  <c r="G273" s="1"/>
  <c r="C274" s="1"/>
  <c r="E274" l="1"/>
  <c r="F274" s="1"/>
  <c r="G274" s="1"/>
  <c r="C275" s="1"/>
  <c r="G275" l="1"/>
  <c r="C276" s="1"/>
  <c r="E275"/>
  <c r="F275" s="1"/>
  <c r="G276" l="1"/>
  <c r="C277" s="1"/>
  <c r="E276"/>
  <c r="F276" s="1"/>
  <c r="E277" l="1"/>
  <c r="F277" s="1"/>
  <c r="G277" s="1"/>
  <c r="C278" s="1"/>
  <c r="E278" l="1"/>
  <c r="F278" s="1"/>
  <c r="G278" s="1"/>
  <c r="C279" s="1"/>
  <c r="G279" l="1"/>
  <c r="C280" s="1"/>
  <c r="E279"/>
  <c r="F279" s="1"/>
  <c r="G280" l="1"/>
  <c r="C281" s="1"/>
  <c r="E280"/>
  <c r="F280" s="1"/>
  <c r="E281" l="1"/>
  <c r="F281" s="1"/>
  <c r="G281" s="1"/>
  <c r="C282" s="1"/>
  <c r="E282" l="1"/>
  <c r="F282" s="1"/>
  <c r="G282" s="1"/>
  <c r="C283" s="1"/>
  <c r="G283" l="1"/>
  <c r="C284" s="1"/>
  <c r="E283"/>
  <c r="F283" s="1"/>
  <c r="G284" l="1"/>
  <c r="C285" s="1"/>
  <c r="E284"/>
  <c r="F284" s="1"/>
  <c r="E285" l="1"/>
  <c r="F285" s="1"/>
  <c r="G285" s="1"/>
  <c r="C286" s="1"/>
  <c r="E286" l="1"/>
  <c r="F286" s="1"/>
  <c r="G286" s="1"/>
  <c r="C287" s="1"/>
  <c r="G287" l="1"/>
  <c r="C288" s="1"/>
  <c r="E287"/>
  <c r="F287" s="1"/>
  <c r="G288" l="1"/>
  <c r="C289" s="1"/>
  <c r="E288"/>
  <c r="F288" s="1"/>
  <c r="E289" l="1"/>
  <c r="F289" s="1"/>
  <c r="G289" s="1"/>
  <c r="C290" s="1"/>
  <c r="E290" l="1"/>
  <c r="F290" s="1"/>
  <c r="G290" s="1"/>
  <c r="C291" s="1"/>
  <c r="G291" l="1"/>
  <c r="C292" s="1"/>
  <c r="E291"/>
  <c r="F291" s="1"/>
  <c r="G292" l="1"/>
  <c r="C293" s="1"/>
  <c r="E292"/>
  <c r="F292" s="1"/>
  <c r="E293" l="1"/>
  <c r="F293" s="1"/>
  <c r="G293" s="1"/>
  <c r="C294" s="1"/>
  <c r="E294" l="1"/>
  <c r="F294" s="1"/>
  <c r="G294" s="1"/>
  <c r="C295" s="1"/>
  <c r="G295" l="1"/>
  <c r="C296" s="1"/>
  <c r="E295"/>
  <c r="F295" s="1"/>
  <c r="G296" l="1"/>
  <c r="C297" s="1"/>
  <c r="E296"/>
  <c r="F296" s="1"/>
  <c r="E297" l="1"/>
  <c r="F297" s="1"/>
  <c r="G297" s="1"/>
  <c r="C298" s="1"/>
  <c r="E298" l="1"/>
  <c r="F298" s="1"/>
  <c r="G298" s="1"/>
  <c r="C299" s="1"/>
  <c r="G299" l="1"/>
  <c r="C300" s="1"/>
  <c r="E299"/>
  <c r="F299" s="1"/>
  <c r="G300" l="1"/>
  <c r="C301" s="1"/>
  <c r="E300"/>
  <c r="F300" s="1"/>
  <c r="E301" l="1"/>
  <c r="F301" s="1"/>
  <c r="G301" s="1"/>
  <c r="C302" s="1"/>
  <c r="E302" l="1"/>
  <c r="F302" s="1"/>
  <c r="G302" s="1"/>
  <c r="C303" s="1"/>
  <c r="G303" l="1"/>
  <c r="C304" s="1"/>
  <c r="E303"/>
  <c r="F303" s="1"/>
  <c r="G304" l="1"/>
  <c r="C305" s="1"/>
  <c r="E304"/>
  <c r="F304" s="1"/>
  <c r="E305" l="1"/>
  <c r="F305" s="1"/>
  <c r="G305" s="1"/>
  <c r="C306" s="1"/>
  <c r="E306" l="1"/>
  <c r="F306" s="1"/>
  <c r="G306" s="1"/>
  <c r="C307" s="1"/>
  <c r="G307" l="1"/>
  <c r="C308" s="1"/>
  <c r="E307"/>
  <c r="F307" s="1"/>
  <c r="G308" l="1"/>
  <c r="C309" s="1"/>
  <c r="E308"/>
  <c r="F308" s="1"/>
  <c r="E309" l="1"/>
  <c r="F309" s="1"/>
  <c r="G309" s="1"/>
  <c r="C310" s="1"/>
  <c r="E310" l="1"/>
  <c r="F310" s="1"/>
  <c r="G310" s="1"/>
  <c r="C311" s="1"/>
  <c r="G311" l="1"/>
  <c r="C312" s="1"/>
  <c r="E311"/>
  <c r="F311" s="1"/>
  <c r="G312" l="1"/>
  <c r="C313" s="1"/>
  <c r="E312"/>
  <c r="F312" s="1"/>
  <c r="E313" l="1"/>
  <c r="F313" s="1"/>
  <c r="G313" s="1"/>
  <c r="C314" s="1"/>
  <c r="E314" l="1"/>
  <c r="F314" s="1"/>
  <c r="G314" s="1"/>
  <c r="C315" s="1"/>
  <c r="G315" l="1"/>
  <c r="C316" s="1"/>
  <c r="E315"/>
  <c r="F315" s="1"/>
  <c r="G316" l="1"/>
  <c r="C317" s="1"/>
  <c r="E316"/>
  <c r="F316" s="1"/>
  <c r="E317" l="1"/>
  <c r="F317" s="1"/>
  <c r="G317" s="1"/>
  <c r="C318" s="1"/>
  <c r="E318" l="1"/>
  <c r="F318" s="1"/>
  <c r="G318" s="1"/>
  <c r="C319" s="1"/>
  <c r="G319" l="1"/>
  <c r="C320" s="1"/>
  <c r="E319"/>
  <c r="F319" s="1"/>
  <c r="G320" l="1"/>
  <c r="C321" s="1"/>
  <c r="E320"/>
  <c r="F320" s="1"/>
  <c r="E321" l="1"/>
  <c r="F321" s="1"/>
  <c r="G321" s="1"/>
  <c r="C322" s="1"/>
  <c r="E322" l="1"/>
  <c r="F322" s="1"/>
  <c r="G322" s="1"/>
  <c r="C323" s="1"/>
  <c r="G323" l="1"/>
  <c r="C324" s="1"/>
  <c r="E323"/>
  <c r="F323" s="1"/>
  <c r="G324" l="1"/>
  <c r="C325" s="1"/>
  <c r="E324"/>
  <c r="F324" s="1"/>
  <c r="E325" l="1"/>
  <c r="F325" s="1"/>
  <c r="G325" s="1"/>
  <c r="C326" s="1"/>
  <c r="E326" l="1"/>
  <c r="F326" s="1"/>
  <c r="G326" s="1"/>
  <c r="C327" s="1"/>
  <c r="G327" l="1"/>
  <c r="C328" s="1"/>
  <c r="E327"/>
  <c r="F327" s="1"/>
  <c r="G328" l="1"/>
  <c r="C329" s="1"/>
  <c r="E328"/>
  <c r="F328" s="1"/>
  <c r="E329" l="1"/>
  <c r="F329" s="1"/>
  <c r="G329" s="1"/>
  <c r="C330" s="1"/>
  <c r="E330" l="1"/>
  <c r="F330" s="1"/>
  <c r="G330" s="1"/>
  <c r="C331" s="1"/>
  <c r="G331" l="1"/>
  <c r="C332" s="1"/>
  <c r="E331"/>
  <c r="F331" s="1"/>
  <c r="G332" l="1"/>
  <c r="C333" s="1"/>
  <c r="E332"/>
  <c r="F332" s="1"/>
  <c r="E333" l="1"/>
  <c r="F333" s="1"/>
  <c r="G333" s="1"/>
  <c r="C334" s="1"/>
  <c r="E334" l="1"/>
  <c r="F334" s="1"/>
  <c r="G334" s="1"/>
  <c r="C335" s="1"/>
  <c r="G335" l="1"/>
  <c r="C336" s="1"/>
  <c r="E335"/>
  <c r="F335" s="1"/>
  <c r="G336" l="1"/>
  <c r="C337" s="1"/>
  <c r="E336"/>
  <c r="F336" s="1"/>
  <c r="E337" l="1"/>
  <c r="F337" s="1"/>
  <c r="G337" s="1"/>
  <c r="C338" s="1"/>
  <c r="E338" l="1"/>
  <c r="F338" s="1"/>
  <c r="G338" s="1"/>
  <c r="C339" s="1"/>
  <c r="G339" l="1"/>
  <c r="C340" s="1"/>
  <c r="E339"/>
  <c r="F339" s="1"/>
  <c r="G340" l="1"/>
  <c r="C341" s="1"/>
  <c r="E340"/>
  <c r="F340" s="1"/>
  <c r="E341" l="1"/>
  <c r="F341" s="1"/>
  <c r="G341" s="1"/>
  <c r="C342" s="1"/>
  <c r="E342" l="1"/>
  <c r="F342" s="1"/>
  <c r="G342" s="1"/>
  <c r="C343" s="1"/>
  <c r="G343" l="1"/>
  <c r="C344" s="1"/>
  <c r="E343"/>
  <c r="F343" s="1"/>
  <c r="G344" l="1"/>
  <c r="C345" s="1"/>
  <c r="E344"/>
  <c r="F344" s="1"/>
  <c r="E345" l="1"/>
  <c r="F345" s="1"/>
  <c r="G345" s="1"/>
  <c r="C346" s="1"/>
  <c r="E346" l="1"/>
  <c r="F346" s="1"/>
  <c r="G346" s="1"/>
  <c r="C347" s="1"/>
  <c r="G347" l="1"/>
  <c r="C348" s="1"/>
  <c r="E347"/>
  <c r="F347" s="1"/>
  <c r="G348" l="1"/>
  <c r="C349" s="1"/>
  <c r="E348"/>
  <c r="F348" s="1"/>
  <c r="E349" l="1"/>
  <c r="F349" s="1"/>
  <c r="G349" s="1"/>
  <c r="C350" s="1"/>
  <c r="E350" l="1"/>
  <c r="F350" s="1"/>
  <c r="G350" s="1"/>
  <c r="C351" s="1"/>
  <c r="G351" l="1"/>
  <c r="C352" s="1"/>
  <c r="E351"/>
  <c r="F351" s="1"/>
  <c r="G352" l="1"/>
  <c r="C353" s="1"/>
  <c r="E352"/>
  <c r="F352" s="1"/>
  <c r="E353" l="1"/>
  <c r="F353" s="1"/>
  <c r="G353" s="1"/>
  <c r="C354" s="1"/>
  <c r="E354" l="1"/>
  <c r="F354" s="1"/>
  <c r="G354" s="1"/>
  <c r="C355" s="1"/>
  <c r="G355" l="1"/>
  <c r="C356" s="1"/>
  <c r="E355"/>
  <c r="F355" s="1"/>
  <c r="G356" l="1"/>
  <c r="C357" s="1"/>
  <c r="E356"/>
  <c r="F356" s="1"/>
  <c r="E357" l="1"/>
  <c r="F357" s="1"/>
  <c r="G357" s="1"/>
  <c r="C358" s="1"/>
  <c r="E358" l="1"/>
  <c r="F358" s="1"/>
  <c r="G358" s="1"/>
  <c r="C359" s="1"/>
  <c r="G359" l="1"/>
  <c r="C360" s="1"/>
  <c r="E359"/>
  <c r="F359" s="1"/>
  <c r="G360" l="1"/>
  <c r="C361" s="1"/>
  <c r="E360"/>
  <c r="F360" s="1"/>
  <c r="E361" l="1"/>
  <c r="F361" s="1"/>
  <c r="G361" s="1"/>
  <c r="C362" s="1"/>
  <c r="E362" l="1"/>
  <c r="F362" s="1"/>
  <c r="G362" s="1"/>
  <c r="C363" s="1"/>
  <c r="G363" l="1"/>
  <c r="C364" s="1"/>
  <c r="E363"/>
  <c r="F363" s="1"/>
  <c r="G364" l="1"/>
  <c r="C365" s="1"/>
  <c r="E364"/>
  <c r="F364" s="1"/>
  <c r="E365" l="1"/>
  <c r="F365" s="1"/>
  <c r="G365" s="1"/>
  <c r="C366" s="1"/>
  <c r="E366" l="1"/>
  <c r="F366" s="1"/>
  <c r="G366" s="1"/>
  <c r="C367" s="1"/>
  <c r="G367" l="1"/>
  <c r="C368" s="1"/>
  <c r="E367"/>
  <c r="F367" s="1"/>
  <c r="G368" l="1"/>
  <c r="C369" s="1"/>
  <c r="E368"/>
  <c r="F368" s="1"/>
  <c r="E369" l="1"/>
  <c r="F369" s="1"/>
  <c r="G369" s="1"/>
  <c r="C370" s="1"/>
  <c r="E370" l="1"/>
  <c r="F370" s="1"/>
  <c r="G370" s="1"/>
</calcChain>
</file>

<file path=xl/comments1.xml><?xml version="1.0" encoding="utf-8"?>
<comments xmlns="http://schemas.openxmlformats.org/spreadsheetml/2006/main">
  <authors>
    <author>Boni</author>
  </authors>
  <commentList>
    <comment ref="D19" authorId="0">
      <text>
        <r>
          <rPr>
            <b/>
            <sz val="9"/>
            <color indexed="81"/>
            <rFont val="Tahoma"/>
            <family val="2"/>
          </rPr>
          <t xml:space="preserve">If #NAME? Error
</t>
        </r>
        <r>
          <rPr>
            <sz val="9"/>
            <color indexed="81"/>
            <rFont val="Tahoma"/>
            <family val="2"/>
          </rPr>
          <t>Must have Excel 2007 to use this function.</t>
        </r>
      </text>
    </comment>
  </commentList>
</comments>
</file>

<file path=xl/sharedStrings.xml><?xml version="1.0" encoding="utf-8"?>
<sst xmlns="http://schemas.openxmlformats.org/spreadsheetml/2006/main" count="9347" uniqueCount="2133">
  <si>
    <t>Employee</t>
  </si>
  <si>
    <t>Hire date</t>
  </si>
  <si>
    <t>Smith, John</t>
  </si>
  <si>
    <t>Jones, Joe</t>
  </si>
  <si>
    <t>Garcia, Jorge</t>
  </si>
  <si>
    <t>Singh, Lisa</t>
  </si>
  <si>
    <t>Years Employed</t>
  </si>
  <si>
    <t>Yes</t>
  </si>
  <si>
    <t>No</t>
  </si>
  <si>
    <t>Deduction</t>
  </si>
  <si>
    <t>In this sample, the IF function is checking to see if they have signed up for insurance.  If they have, the deduction amount is entered.</t>
  </si>
  <si>
    <t>IF</t>
  </si>
  <si>
    <t>Team</t>
  </si>
  <si>
    <t>A</t>
  </si>
  <si>
    <t>B</t>
  </si>
  <si>
    <t>C</t>
  </si>
  <si>
    <t>D</t>
  </si>
  <si>
    <t>Meeting Day</t>
  </si>
  <si>
    <t>Teams A and C meet on Tuesday, Teams B and D meet on Thursday.  We want to list the meeting days in column D.</t>
  </si>
  <si>
    <t>The IF function is determining each employees earned vacation days.  If they have worked for more than a year, they have earned 5 vacation days plus one day for each additional full year.</t>
  </si>
  <si>
    <t>PMT</t>
  </si>
  <si>
    <t>PMT Function Samples</t>
  </si>
  <si>
    <t>The PMT function calculates the payment for a loan based on constant payments and a constant interest rate.</t>
  </si>
  <si>
    <t>Payment:</t>
  </si>
  <si>
    <t>Loan Amount</t>
  </si>
  <si>
    <t>Interest Rate</t>
  </si>
  <si>
    <t>Number of years</t>
  </si>
  <si>
    <t>Payments per year</t>
  </si>
  <si>
    <t>Total Payments</t>
  </si>
  <si>
    <t>Balloon Payment</t>
  </si>
  <si>
    <t>Monthly Deposit to Reach Savings Goal</t>
  </si>
  <si>
    <t>Savings Goal</t>
  </si>
  <si>
    <t>Payment for Loan w/Balloon Payment</t>
  </si>
  <si>
    <t>Payment for Home Loan</t>
  </si>
  <si>
    <t>Payment for Home Loan in Canada</t>
  </si>
  <si>
    <t>This time we are depositing money to reach a savings goal, so the pv is 0 and the fv is the amount we want to have in</t>
  </si>
  <si>
    <t>savings at the end of the given number of years.</t>
  </si>
  <si>
    <t>((1+(B37/2))^2)^(1/12)-1</t>
  </si>
  <si>
    <t>Canadians have this complicated compounded semi-annually thing so we can't just divide by the number of periods but</t>
  </si>
  <si>
    <t>have to use this fancier calculation for the rate argument:</t>
  </si>
  <si>
    <t>Compared to our first loan calculation, you can see that it actually saves them a bit, so is worth the extra work.</t>
  </si>
  <si>
    <t>and payments are made at the end of the month, the last two arguments are not required.</t>
  </si>
  <si>
    <t>Date Functions</t>
  </si>
  <si>
    <t>Basic Math with Dates</t>
  </si>
  <si>
    <t>Difference in number of days</t>
  </si>
  <si>
    <t>Add days to a date</t>
  </si>
  <si>
    <t>is the date 90 days after today.</t>
  </si>
  <si>
    <t>is the number of days between today and 1/1/08.</t>
  </si>
  <si>
    <t>Function Syntax</t>
  </si>
  <si>
    <t>EDATE</t>
  </si>
  <si>
    <t>Add number of months to a date.</t>
  </si>
  <si>
    <t>EOMONTH</t>
  </si>
  <si>
    <t>Gives the end of month date for a date plus a given number of months.</t>
  </si>
  <si>
    <t>is the last day in this month.</t>
  </si>
  <si>
    <t>is next months end of month date.</t>
  </si>
  <si>
    <t>is the end of month date for three months from now.</t>
  </si>
  <si>
    <t>NETWORKDAYS</t>
  </si>
  <si>
    <t>Returns the number of full workdays between two dates.</t>
  </si>
  <si>
    <t>Holidays is an optional range containing dates to exclude.</t>
  </si>
  <si>
    <t>WORKDAY</t>
  </si>
  <si>
    <t>Returns a date that is the given number of working days before or after a date.</t>
  </si>
  <si>
    <t>is the date 5 work days before today.</t>
  </si>
  <si>
    <t>is the date 45 work days from today.</t>
  </si>
  <si>
    <t>Here are a few you might find useful.</t>
  </si>
  <si>
    <t xml:space="preserve"> is the number of workdays between these dates</t>
  </si>
  <si>
    <t>is the number of workdays between these dates.</t>
  </si>
  <si>
    <t>Information from Dates</t>
  </si>
  <si>
    <t>DAY</t>
  </si>
  <si>
    <t>Returns the day of a date, a number between 1 and 31.</t>
  </si>
  <si>
    <t>=DAY(A32)</t>
  </si>
  <si>
    <t>Function</t>
  </si>
  <si>
    <t>DAY(valid date)</t>
  </si>
  <si>
    <t>MONTH</t>
  </si>
  <si>
    <t>Returns the month, a number between 1 and 12.</t>
  </si>
  <si>
    <t>=MONTH(A35)</t>
  </si>
  <si>
    <t>MONTH(valid date)</t>
  </si>
  <si>
    <t>YEAR</t>
  </si>
  <si>
    <t>Returns the year, a number between 1900 and 9999.</t>
  </si>
  <si>
    <t>=YEAR(A38)</t>
  </si>
  <si>
    <t>YEAR(valid date)</t>
  </si>
  <si>
    <t>TODAY</t>
  </si>
  <si>
    <t>Returns the current date.</t>
  </si>
  <si>
    <t>=TODAY()</t>
  </si>
  <si>
    <t>TODAY()</t>
  </si>
  <si>
    <t>Lookup Functions</t>
  </si>
  <si>
    <t>=EDATE(A15,B15)</t>
  </si>
  <si>
    <t>=EOMONTH(A18,B18)</t>
  </si>
  <si>
    <t>=EOMONTH(A19,B19)</t>
  </si>
  <si>
    <t>=EOMONTH(A20,B20)</t>
  </si>
  <si>
    <t>=NETWORKDAYS(A23,B23)</t>
  </si>
  <si>
    <t>=NETWORKDAYS(A24,B24)</t>
  </si>
  <si>
    <t>=WORKDAY(A27,-B27)</t>
  </si>
  <si>
    <t>=WORKDAY(A28,B28)</t>
  </si>
  <si>
    <t>=A8-B8</t>
  </si>
  <si>
    <t>=A11+B11</t>
  </si>
  <si>
    <t>Formula in Column C</t>
  </si>
  <si>
    <t>Function in Column C</t>
  </si>
  <si>
    <t>Function in Column B</t>
  </si>
  <si>
    <t>HLOOKUP</t>
  </si>
  <si>
    <t>VLOOKUP</t>
  </si>
  <si>
    <t>Description</t>
  </si>
  <si>
    <t>Searches for a value in the top row of a table of values, and then returns a value in the same column from a row you specify.</t>
  </si>
  <si>
    <t>Jan</t>
  </si>
  <si>
    <t>Feb</t>
  </si>
  <si>
    <t>Mar</t>
  </si>
  <si>
    <t>HLOOKUP(lookup value, table, row num, range lookup)</t>
  </si>
  <si>
    <t>Lookup value is the value to find in the first row.</t>
  </si>
  <si>
    <t>Table is the data table to use for the lookup.</t>
  </si>
  <si>
    <t>Lookup value</t>
  </si>
  <si>
    <t>Row num</t>
  </si>
  <si>
    <t>Returned</t>
  </si>
  <si>
    <t>=HLOOKUP(B6,D6:G9,B7,0)</t>
  </si>
  <si>
    <t>Function in B9:</t>
  </si>
  <si>
    <t>E</t>
  </si>
  <si>
    <t>There are a number of functions in Excel that allow you to search for information in a table of data.  Here are the two most used lookup functions.</t>
  </si>
  <si>
    <t>Searches for a value in the first column of a table of values, and then returns a value in the same row from a column you specify.</t>
  </si>
  <si>
    <t>Column num</t>
  </si>
  <si>
    <t>Lookup value is the value to find in the first column.</t>
  </si>
  <si>
    <t>VLOOKUP(lookup value, table, col num, range lookup)</t>
  </si>
  <si>
    <t>Exact Match</t>
  </si>
  <si>
    <t>Blue</t>
  </si>
  <si>
    <t>Green</t>
  </si>
  <si>
    <t>Red</t>
  </si>
  <si>
    <t>Yellow</t>
  </si>
  <si>
    <t>=HLOOKUP(A11,D11:G12,2)</t>
  </si>
  <si>
    <t>=HLOOKUP(A12,D11:G12,2)</t>
  </si>
  <si>
    <t>=HLOOKUP(A13,D11:G12,2)</t>
  </si>
  <si>
    <t>Function in B20:</t>
  </si>
  <si>
    <t>=VLOOKUP(B17,D17:G20,B18,0)</t>
  </si>
  <si>
    <t>=VLOOKUP(A22,$D$22:$E$26,2)</t>
  </si>
  <si>
    <t>=VLOOKUP(A23,$D$22:$E$26,2)</t>
  </si>
  <si>
    <t>=VLOOKUP(A24,$D$22:$E$26,2)</t>
  </si>
  <si>
    <t>=VLOOKUP(A25,$D$22:$E$26,2)</t>
  </si>
  <si>
    <t>=VLOOKUP(A26,$D$22:$E$26,2)</t>
  </si>
  <si>
    <t>Time Functions</t>
  </si>
  <si>
    <t>Math with Times</t>
  </si>
  <si>
    <t>Difference in time</t>
  </si>
  <si>
    <t>is the difference between the given times.</t>
  </si>
  <si>
    <t>=B8-A8</t>
  </si>
  <si>
    <t>Add Times</t>
  </si>
  <si>
    <t>is the total of the hours.</t>
  </si>
  <si>
    <t>Format for Total</t>
  </si>
  <si>
    <t>[h]:mm;@</t>
  </si>
  <si>
    <t>Time in Excel is actually stored as a decimal number ranging from 0 (zero) to 0.99999999, representing the times from 0:00:00 (12:00:00 AM) to 23:59:59 (11:59:59 P.M.).</t>
  </si>
  <si>
    <t>As with dates, you can do standard math, adding and subtracting hours, easily with Excel.  Functions are available for when you need to do more.</t>
  </si>
  <si>
    <t>HOUR</t>
  </si>
  <si>
    <t>=HOUR(A15)</t>
  </si>
  <si>
    <t>HOUR(valid time)</t>
  </si>
  <si>
    <t>MINUTE</t>
  </si>
  <si>
    <t>Returns the hour of a time. The hour is given as an integer, between 0 (12:00 A.M.) and 23 (11:00 P.M.).</t>
  </si>
  <si>
    <t>Returns the minutes of a time. The minute is given as an integer, between 0 and 59.</t>
  </si>
  <si>
    <t>=MINUTE(A18)</t>
  </si>
  <si>
    <t>MINUTE(valid time)</t>
  </si>
  <si>
    <t>SECOND(valid time)</t>
  </si>
  <si>
    <t>SECOND</t>
  </si>
  <si>
    <t>Returns the seconds of a time. The second is given as an integer between 0 (zero) and 59.</t>
  </si>
  <si>
    <t>=SECOND(A21)</t>
  </si>
  <si>
    <t>TIME</t>
  </si>
  <si>
    <t>Shown in time and general (decimal) format.</t>
  </si>
  <si>
    <t>=TIME(A24,A25,A26)</t>
  </si>
  <si>
    <t>Returns the decimal number of the time represented by a text string.</t>
  </si>
  <si>
    <t>TIMEVALUE(time in text format)</t>
  </si>
  <si>
    <t>2:35:27 PM</t>
  </si>
  <si>
    <t>TIMEVALUE</t>
  </si>
  <si>
    <t>NOW</t>
  </si>
  <si>
    <t>NOW()</t>
  </si>
  <si>
    <t>No arguments.</t>
  </si>
  <si>
    <t>Returns the current date and time.</t>
  </si>
  <si>
    <t>The number to the left of the decimal is the date value and the number to the right of the decimal is the time.</t>
  </si>
  <si>
    <t>Date/Time Format</t>
  </si>
  <si>
    <t>General Format</t>
  </si>
  <si>
    <t>Returns the decimal number for a specific hour, minute, and second combination.</t>
  </si>
  <si>
    <t>=TIMEVALUE(A29)</t>
  </si>
  <si>
    <t>=NOW()</t>
  </si>
  <si>
    <t>Other Functions</t>
  </si>
  <si>
    <t>City</t>
  </si>
  <si>
    <t>State</t>
  </si>
  <si>
    <t>Name</t>
  </si>
  <si>
    <t>Price</t>
  </si>
  <si>
    <t>Customer Name</t>
  </si>
  <si>
    <t>Customers</t>
  </si>
  <si>
    <t>ID</t>
  </si>
  <si>
    <t>Address</t>
  </si>
  <si>
    <t>Zip Code</t>
  </si>
  <si>
    <t>Phone</t>
  </si>
  <si>
    <t>Vickie</t>
  </si>
  <si>
    <t>Keane</t>
  </si>
  <si>
    <t>Tony</t>
  </si>
  <si>
    <t>Mai</t>
  </si>
  <si>
    <t>William</t>
  </si>
  <si>
    <t>Getty</t>
  </si>
  <si>
    <t>Myra</t>
  </si>
  <si>
    <t>Bruner</t>
  </si>
  <si>
    <t>Cindy</t>
  </si>
  <si>
    <t>Barrington</t>
  </si>
  <si>
    <t>Ella</t>
  </si>
  <si>
    <t>Arteaga</t>
  </si>
  <si>
    <t>Bryan</t>
  </si>
  <si>
    <t>Givens</t>
  </si>
  <si>
    <t>Geneva</t>
  </si>
  <si>
    <t>Haller</t>
  </si>
  <si>
    <t>Jill</t>
  </si>
  <si>
    <t>Caruso</t>
  </si>
  <si>
    <t>Kara</t>
  </si>
  <si>
    <t>Charlton</t>
  </si>
  <si>
    <t>Last Name</t>
  </si>
  <si>
    <t>First Name</t>
  </si>
  <si>
    <t>47 Carolyn Avenue</t>
  </si>
  <si>
    <t>732 Oregon Street</t>
  </si>
  <si>
    <t>81 Columbus Road</t>
  </si>
  <si>
    <t>182 Birchwood Street</t>
  </si>
  <si>
    <t>271 Latrell Road</t>
  </si>
  <si>
    <t>72 White Eagle Street</t>
  </si>
  <si>
    <t>985 Lisa Street</t>
  </si>
  <si>
    <t>524 Ridge Road</t>
  </si>
  <si>
    <t>52 Hiroko Street</t>
  </si>
  <si>
    <t>58 Langley Avenue</t>
  </si>
  <si>
    <t>Middleton</t>
  </si>
  <si>
    <t>Madison</t>
  </si>
  <si>
    <t>Fayetteville</t>
  </si>
  <si>
    <t>Buena Vista</t>
  </si>
  <si>
    <t>Refugio</t>
  </si>
  <si>
    <t>Baltimore</t>
  </si>
  <si>
    <t>Aurora</t>
  </si>
  <si>
    <t>Spring Lake</t>
  </si>
  <si>
    <t>NC</t>
  </si>
  <si>
    <t>(910) 473-7752</t>
  </si>
  <si>
    <t>(910) 350-9309</t>
  </si>
  <si>
    <t>(910) 475-4153</t>
  </si>
  <si>
    <t>(910) 331-5052</t>
  </si>
  <si>
    <t>(910) 428-4137</t>
  </si>
  <si>
    <t>(910) 413-4728</t>
  </si>
  <si>
    <t>(910) 456-5660</t>
  </si>
  <si>
    <t>(910) 357-3062</t>
  </si>
  <si>
    <t>(910) 420-9063</t>
  </si>
  <si>
    <t>(910) 384-4911</t>
  </si>
  <si>
    <t>Products</t>
  </si>
  <si>
    <t>Item No</t>
  </si>
  <si>
    <t>Widget</t>
  </si>
  <si>
    <t>Gadget</t>
  </si>
  <si>
    <t>Thingamagig</t>
  </si>
  <si>
    <t>Whatsit</t>
  </si>
  <si>
    <t>Thingy</t>
  </si>
  <si>
    <t>Dohickey</t>
  </si>
  <si>
    <t>Doodad</t>
  </si>
  <si>
    <t>Geehaw</t>
  </si>
  <si>
    <t>Wadget</t>
  </si>
  <si>
    <t>Yaknow</t>
  </si>
  <si>
    <t>Tables for VLOOKUP Sample</t>
  </si>
  <si>
    <t>COUNTIF</t>
  </si>
  <si>
    <t>SUMIF</t>
  </si>
  <si>
    <t>AVERAGEIF</t>
  </si>
  <si>
    <t>AVERAGE</t>
  </si>
  <si>
    <t>MAX</t>
  </si>
  <si>
    <t>MIN</t>
  </si>
  <si>
    <t>COUNT</t>
  </si>
  <si>
    <t>COUNTA</t>
  </si>
  <si>
    <t>Text Functions</t>
  </si>
  <si>
    <t>LEFT</t>
  </si>
  <si>
    <t>MID</t>
  </si>
  <si>
    <t>RIGHT</t>
  </si>
  <si>
    <t>FIND</t>
  </si>
  <si>
    <t>LEN</t>
  </si>
  <si>
    <t>Part Number</t>
  </si>
  <si>
    <t>Type</t>
  </si>
  <si>
    <t>Department</t>
  </si>
  <si>
    <t>Cost</t>
  </si>
  <si>
    <t>Quantity</t>
  </si>
  <si>
    <t>Total Value</t>
  </si>
  <si>
    <t>RT</t>
  </si>
  <si>
    <t>Dept 2</t>
  </si>
  <si>
    <t>AC</t>
  </si>
  <si>
    <t>Dept 5</t>
  </si>
  <si>
    <t>AB</t>
  </si>
  <si>
    <t>Dept 4</t>
  </si>
  <si>
    <t>DE</t>
  </si>
  <si>
    <t>DB</t>
  </si>
  <si>
    <t>Dept 1</t>
  </si>
  <si>
    <t>Dept 3</t>
  </si>
  <si>
    <t>Returns the average (arithmetic mean) of the arguments.</t>
  </si>
  <si>
    <t>AVERAGE(number1, number2,...)</t>
  </si>
  <si>
    <t>Syntax</t>
  </si>
  <si>
    <t>Sample Formula</t>
  </si>
  <si>
    <t>Sample Result</t>
  </si>
  <si>
    <t>Returns the largest value in a set of values.</t>
  </si>
  <si>
    <t>MAX(number1,number2,...)</t>
  </si>
  <si>
    <t>Returns the smallest number in a set of values.</t>
  </si>
  <si>
    <t>MIN(number1,number2,...)</t>
  </si>
  <si>
    <t>Counts the number of cells that contain numbers</t>
  </si>
  <si>
    <t>COUNT(value1, value2,...)</t>
  </si>
  <si>
    <t>Counts the number of cells that are not empty.</t>
  </si>
  <si>
    <t>COUNTA(value1, value2,...)</t>
  </si>
  <si>
    <t>Count the values in a range that meet specified criteria.</t>
  </si>
  <si>
    <t>Sum the values in a range that meet specified criteria.</t>
  </si>
  <si>
    <t>Average the values in a range that meet specified criteria.</t>
  </si>
  <si>
    <t>COUNTIF(range, criteria)</t>
  </si>
  <si>
    <t>SUMIF(range, criteria, sum range)</t>
  </si>
  <si>
    <t>Locate text within a text entry and returns the number of the starting position of the text within that entry.</t>
  </si>
  <si>
    <t>Returns the number of leftmost characters specified.</t>
  </si>
  <si>
    <t>President George Washington, United States of America</t>
  </si>
  <si>
    <t>Returns the number of characters in a text entry.</t>
  </si>
  <si>
    <t>LEN(text)</t>
  </si>
  <si>
    <t>MID(text, start num, num chars)</t>
  </si>
  <si>
    <t>LEFT(text, num chars)</t>
  </si>
  <si>
    <t>FIND(find text ,within text, start with num)</t>
  </si>
  <si>
    <t>Returns the specified number of characters from a text entry, beginning with the specified character number.</t>
  </si>
  <si>
    <t>Returns the number of rightmost characters specified.</t>
  </si>
  <si>
    <t>RIGHT(text, num chars)</t>
  </si>
  <si>
    <t>=AVERAGE(I4:I43)</t>
  </si>
  <si>
    <t>=MAX(J4:J43)</t>
  </si>
  <si>
    <t>=COUNT(J4:J43)</t>
  </si>
  <si>
    <t>=COUNTA(G4:G43)</t>
  </si>
  <si>
    <t>=SUMIF(H4:K43,"Dept 1",K4:K43)</t>
  </si>
  <si>
    <t>=COUNTIF(G4:G43,"RT")</t>
  </si>
  <si>
    <t>=AVERAGEIF(G4:K43,"RT",I4:I43)</t>
  </si>
  <si>
    <t>I think that I will never see, a poem as lovely as a tree.</t>
  </si>
  <si>
    <t>USS Enterprise, Starfleet Command</t>
  </si>
  <si>
    <t>Statistical Functions</t>
  </si>
  <si>
    <t>=MIN(I4:I43)</t>
  </si>
  <si>
    <t>AVERAGEIF(range, criteria, average range)</t>
  </si>
  <si>
    <t>TIME(hour, minute, second)</t>
  </si>
  <si>
    <t>is the date 3 months after today's date.</t>
  </si>
  <si>
    <t>EDATE(start date, months)</t>
  </si>
  <si>
    <t>EOMONTH(start date, months)</t>
  </si>
  <si>
    <t>NETWORKDAYS(start date, end date, holidays)</t>
  </si>
  <si>
    <t>WORKDAY(start date, days, holidays)</t>
  </si>
  <si>
    <t>Syntax: PMT(rate, nper, pv, fv, type)</t>
  </si>
  <si>
    <t>Average</t>
  </si>
  <si>
    <t>Grade</t>
  </si>
  <si>
    <t>Score</t>
  </si>
  <si>
    <r>
      <t>f</t>
    </r>
    <r>
      <rPr>
        <b/>
        <i/>
        <vertAlign val="subscript"/>
        <sz val="18"/>
        <color indexed="56"/>
        <rFont val="Cambria"/>
        <family val="1"/>
      </rPr>
      <t>x</t>
    </r>
  </si>
  <si>
    <t>The insert function button on the formula bar opens the Insert Function dialog box. Type in</t>
  </si>
  <si>
    <t>what you want to do and click Go or hit Enter and Excel will give you a list of possible</t>
  </si>
  <si>
    <t>functions. In the sample dialog box to the right, I searched for a function to find data in a</t>
  </si>
  <si>
    <t>table. Excel returned four possibilities.  Click the function name to see the function syntax</t>
  </si>
  <si>
    <t>link to see more information and samples of the function at work.</t>
  </si>
  <si>
    <t>When you click OK, Excel will open the Functions Argument dialog box for the selected</t>
  </si>
  <si>
    <t>function to help you enter the function arguments correctly.  As you move the insertion</t>
  </si>
  <si>
    <t>point through the arguments, Excel will give a description of what is expected.  You also have</t>
  </si>
  <si>
    <t>Argument labels in bold text are required arguments.  Once you have entered all required</t>
  </si>
  <si>
    <t>arguments, click OK and the function is entered in your worksheet.</t>
  </si>
  <si>
    <r>
      <t xml:space="preserve">and a brief description. If you're not sure what all that means, click the </t>
    </r>
    <r>
      <rPr>
        <u/>
        <sz val="11"/>
        <color indexed="8"/>
        <rFont val="Calibri"/>
        <family val="2"/>
      </rPr>
      <t>Help on this function</t>
    </r>
  </si>
  <si>
    <r>
      <t xml:space="preserve">the opportunity to click for more </t>
    </r>
    <r>
      <rPr>
        <u/>
        <sz val="11"/>
        <color indexed="8"/>
        <rFont val="Calibri"/>
        <family val="2"/>
      </rPr>
      <t>Help on this function</t>
    </r>
    <r>
      <rPr>
        <sz val="11"/>
        <color theme="1"/>
        <rFont val="Calibri"/>
        <family val="2"/>
        <scheme val="minor"/>
      </rPr>
      <t>.</t>
    </r>
  </si>
  <si>
    <t>Selecting a cell that contains a function and then clicking the</t>
  </si>
  <si>
    <t>Insert Function button will open the Function Arguments</t>
  </si>
  <si>
    <t>dialog box for that function.</t>
  </si>
  <si>
    <t>Insert Function Button</t>
  </si>
  <si>
    <t>Formula in B10:  =-PMT(B12/B14,B15,B11)</t>
  </si>
  <si>
    <t>periods for the life of the loan.  The pv argument is the amount of the loan. Because this loan will be paid down to zero</t>
  </si>
  <si>
    <t>Formula in B18:  =-PMT(B20/B22,B23,B19,B24)</t>
  </si>
  <si>
    <t>Formula in B27:  =-PMT(B29/B31,B32,0,B28)</t>
  </si>
  <si>
    <t>Formula in B35:  =-PMT(((1+(B37/2))^2)^(1/12)-1,B40,B36)</t>
  </si>
  <si>
    <r>
      <t>Explained - Select B10 and click [</t>
    </r>
    <r>
      <rPr>
        <b/>
        <i/>
        <sz val="15"/>
        <color indexed="56"/>
        <rFont val="Calibri"/>
        <family val="2"/>
      </rPr>
      <t>fx</t>
    </r>
    <r>
      <rPr>
        <b/>
        <sz val="15"/>
        <color indexed="56"/>
        <rFont val="Calibri"/>
        <family val="2"/>
      </rPr>
      <t>]</t>
    </r>
  </si>
  <si>
    <r>
      <t>Explained - Select B18 and click [</t>
    </r>
    <r>
      <rPr>
        <b/>
        <i/>
        <sz val="15"/>
        <color indexed="56"/>
        <rFont val="Calibri"/>
        <family val="2"/>
      </rPr>
      <t>fx</t>
    </r>
    <r>
      <rPr>
        <b/>
        <sz val="15"/>
        <color indexed="56"/>
        <rFont val="Calibri"/>
        <family val="2"/>
      </rPr>
      <t>]</t>
    </r>
  </si>
  <si>
    <r>
      <t>Explained - Select B27 and click [</t>
    </r>
    <r>
      <rPr>
        <b/>
        <i/>
        <sz val="15"/>
        <color indexed="56"/>
        <rFont val="Calibri"/>
        <family val="2"/>
      </rPr>
      <t>fx</t>
    </r>
    <r>
      <rPr>
        <b/>
        <sz val="15"/>
        <color indexed="56"/>
        <rFont val="Calibri"/>
        <family val="2"/>
      </rPr>
      <t>]</t>
    </r>
  </si>
  <si>
    <r>
      <t>Explained - Select B35 and click [</t>
    </r>
    <r>
      <rPr>
        <b/>
        <i/>
        <sz val="15"/>
        <color indexed="56"/>
        <rFont val="Calibri"/>
        <family val="2"/>
      </rPr>
      <t>fx</t>
    </r>
    <r>
      <rPr>
        <b/>
        <sz val="15"/>
        <color indexed="56"/>
        <rFont val="Calibri"/>
        <family val="2"/>
      </rPr>
      <t>]</t>
    </r>
  </si>
  <si>
    <t>(A23 contains sample text for text functions)</t>
  </si>
  <si>
    <t>=FIND(",",A23)</t>
  </si>
  <si>
    <t>=LEFT(A23,9)</t>
  </si>
  <si>
    <t>=LEN(A23)</t>
  </si>
  <si>
    <t>=MID(A23,18,10)</t>
  </si>
  <si>
    <t>=RIGHT(A23,7)</t>
  </si>
  <si>
    <t xml:space="preserve">Use the text functions together to work with variable text lengths in a column.  This formula will always return </t>
  </si>
  <si>
    <t>the text following a comma/space in a text entry:</t>
  </si>
  <si>
    <t>=RIGHT(A38,(LEN(A38)-FIND(",",A38)-1))</t>
  </si>
  <si>
    <t>Using the first example above, it works by taking the length of the text (53) and subtracting the number of</t>
  </si>
  <si>
    <t>characters up to the comma (28) and an extra 1 for the space, and then returning that number (24) of characters</t>
  </si>
  <si>
    <t>from the right end of the text.</t>
  </si>
  <si>
    <t>SUMIFS</t>
  </si>
  <si>
    <t>Adds the cells in a range that meet multiple criteria.</t>
  </si>
  <si>
    <t>COUNTIFS</t>
  </si>
  <si>
    <t>Applies criteria to cells across multiple ranges and counts the number of times all criteria are met.</t>
  </si>
  <si>
    <t>AVERAGEIFS</t>
  </si>
  <si>
    <t>Returns the average (arithmetic mean) of all cells that meet multiple criteria.</t>
  </si>
  <si>
    <t>New 2007 Functions</t>
  </si>
  <si>
    <t>IFERROR</t>
  </si>
  <si>
    <t>Returns a value you specify if a formula evaluates to an error; otherwise, returns the result of the formula.</t>
  </si>
  <si>
    <t>Enter Part Number:</t>
  </si>
  <si>
    <t>Type:</t>
  </si>
  <si>
    <t>Department:</t>
  </si>
  <si>
    <t>Cost:</t>
  </si>
  <si>
    <t>Quantity:</t>
  </si>
  <si>
    <t>Vlookup function with valid data:</t>
  </si>
  <si>
    <t>Vlookup function with invalid data:</t>
  </si>
  <si>
    <t>Formula in I39:  =IFERROR(VLOOKUP(I37,A16:F42,2), "Invalid Part #")</t>
  </si>
  <si>
    <t>Formula in I40: =IF(I39= "Invalid Part #","",VLOOKUP(I37,A16:F42,3))</t>
  </si>
  <si>
    <t>=SUMIFS(F16:F55,B16:B55,"RT",C16:C55,"Dept 2")</t>
  </si>
  <si>
    <t>=COUNTIFS(B16:B55,"RT",C16:C55,"Dept 2")</t>
  </si>
  <si>
    <t>=AVERAGEIF(B16:F55,"RT",D16:D55)</t>
  </si>
  <si>
    <t>=AVERAGEIFS(F16:F55,B16:B55,"RT",C16:C55,"Dept 2")</t>
  </si>
  <si>
    <t>See below</t>
  </si>
  <si>
    <t>You must have Excel 2007 to use these functions.</t>
  </si>
  <si>
    <t>COUNTIFS(criteria range1, criteria1, criteria range2, criteria2…)</t>
  </si>
  <si>
    <t>SUMIFS(sum range, criteria range1, criteria1, criteria range2, criteria2, …)</t>
  </si>
  <si>
    <t>AVERAGEIFS(average range, criteria range1, criteria1, criteria range2, criteria2…)</t>
  </si>
  <si>
    <t>IFERROR(value, value if error)</t>
  </si>
  <si>
    <t>Dates in Excel are actually stored as values, making it easy to do calculations with dates when all you're doing is adding or subtracting number of days.  For the other things you</t>
  </si>
  <si>
    <t>might want to do with dates, there are a variety of functions available to help. Here are a few you might find useful.</t>
  </si>
  <si>
    <t>Rate is the interest rate per period for the loan.  Nper is the total number of payments. Pv is the present value or principal. Fv is the future value and is assumed to be zero if</t>
  </si>
  <si>
    <t>omitted. Type indicates when payments are due. Omitted or zero if payments are made at the end of the period, 1 if at the beginning.</t>
  </si>
  <si>
    <t>The negative following the equal sign is used to negate the functions normal negative value so that the payment</t>
  </si>
  <si>
    <t>displays as a positive number. Because the rate argument requires the interest rate for the period, divide the annual</t>
  </si>
  <si>
    <t>rate by the number of periods per year, so the rate argument is B12/B14.  The nper argument is B15, the total number of</t>
  </si>
  <si>
    <t>Rate, nper, and pv are as above, but because this loan has a lump sum payment due at the end of the loan, we have</t>
  </si>
  <si>
    <t>added the fv argument to contain that value.</t>
  </si>
  <si>
    <t>If a lookup value is not found, vlookup returns the #N/A error. For cases when</t>
  </si>
  <si>
    <t>this is not acceptable, IFERROR allows you to set an alternate value.</t>
  </si>
  <si>
    <t>Vlookup nested in Iferror:</t>
  </si>
  <si>
    <t>Row num is the row index number from which to return matching data.</t>
  </si>
  <si>
    <t>Approximate Match
Functions in Col B:</t>
  </si>
  <si>
    <t>Range lookup is a logical value: TRUE (or 1) or omitted for an approximate match or FALSE (or 0) for an exact match.  If True the values in the first row must appear in ascending order.</t>
  </si>
  <si>
    <t>Col num is the column index number from which to return data.</t>
  </si>
  <si>
    <t>Range lookup is a logical value: TRUE (or 1) or omitted for an approximate match or FALSE (or 0) for an exact match.  If True the values in the first column must appear in ascending order.</t>
  </si>
  <si>
    <t>DAVERAGE</t>
  </si>
  <si>
    <t>Returns the average of selected database entries</t>
  </si>
  <si>
    <t>DCOUNT</t>
  </si>
  <si>
    <t>Counts the cells that contain numbers in a database</t>
  </si>
  <si>
    <t>DCOUNTA</t>
  </si>
  <si>
    <t>Counts nonblank cells in a database</t>
  </si>
  <si>
    <t>DGET</t>
  </si>
  <si>
    <t>Extracts from a database a single record that matches the specified criteria</t>
  </si>
  <si>
    <t>DMAX</t>
  </si>
  <si>
    <t>Returns the maximum value from selected database entries</t>
  </si>
  <si>
    <t>DMIN</t>
  </si>
  <si>
    <t>Returns the minimum value from selected database entries</t>
  </si>
  <si>
    <t>DPRODUCT</t>
  </si>
  <si>
    <t>Multiplies the values in a particular field of records that match the criteria in a database</t>
  </si>
  <si>
    <t>DSUM</t>
  </si>
  <si>
    <t>Adds the numbers in the field column of records in the database that match the criteria</t>
  </si>
  <si>
    <t>Date and Time Functions</t>
  </si>
  <si>
    <t>DATE</t>
  </si>
  <si>
    <t>Returns the serial number of a particular date</t>
  </si>
  <si>
    <t>DATEVALUE</t>
  </si>
  <si>
    <t>Converts a date in the form of text to a serial number</t>
  </si>
  <si>
    <t>Converts a serial number to a day of the month</t>
  </si>
  <si>
    <t>DAYS360</t>
  </si>
  <si>
    <t>Calculates the number of days between two dates based on a 360-day year</t>
  </si>
  <si>
    <t>Returns the serial number of the date that is the indicated number of months before or after the start date</t>
  </si>
  <si>
    <t>Returns the serial number of the last day of the month before or after a specified number of months</t>
  </si>
  <si>
    <t>Converts a serial number to a month</t>
  </si>
  <si>
    <t>Returns the serial number of the current date and time</t>
  </si>
  <si>
    <t>Returns the serial number of today's date</t>
  </si>
  <si>
    <t>WEEKDAY</t>
  </si>
  <si>
    <t>Converts a serial number to a day of the week</t>
  </si>
  <si>
    <t>WEEKNUM</t>
  </si>
  <si>
    <t>Converts a serial number to a number representing where the week falls numerically with a year</t>
  </si>
  <si>
    <t>Returns the serial number of the date before or after a specified number of workdays</t>
  </si>
  <si>
    <t>Converts a serial number to a year</t>
  </si>
  <si>
    <t>Financial Functions</t>
  </si>
  <si>
    <t>DDB</t>
  </si>
  <si>
    <t>Returns the depreciation of an asset for a specified period by using the double-declining balance method or some other method that you specify</t>
  </si>
  <si>
    <t>DISC</t>
  </si>
  <si>
    <t>Returns the discount rate for a security</t>
  </si>
  <si>
    <t>FV</t>
  </si>
  <si>
    <t>Returns the future value of an investment</t>
  </si>
  <si>
    <t>Returns the periodic payment for an annuity</t>
  </si>
  <si>
    <t>PV</t>
  </si>
  <si>
    <t>Returns the present value of an investment</t>
  </si>
  <si>
    <t>SLN</t>
  </si>
  <si>
    <t>Returns the straight-line depreciation of an asset for one period</t>
  </si>
  <si>
    <t>SYD</t>
  </si>
  <si>
    <t>Returns the sum-of-years' digits depreciation of an asset for a specified period</t>
  </si>
  <si>
    <t>Information Functions</t>
  </si>
  <si>
    <t>CELL</t>
  </si>
  <si>
    <t>Returns information about the formatting, location, or contents of a cell</t>
  </si>
  <si>
    <t>ERROR.TYPE</t>
  </si>
  <si>
    <t>Returns a number corresponding to an error type</t>
  </si>
  <si>
    <t>INFO</t>
  </si>
  <si>
    <t>Returns information about the current operating environment</t>
  </si>
  <si>
    <t>ISBLANK</t>
  </si>
  <si>
    <t>Returns TRUE if the value is blank</t>
  </si>
  <si>
    <t>ISERR</t>
  </si>
  <si>
    <t>Returns TRUE if the value is any error value except #N/A</t>
  </si>
  <si>
    <t>ISERROR</t>
  </si>
  <si>
    <t>Returns TRUE if the value is any error value</t>
  </si>
  <si>
    <t>ISNA</t>
  </si>
  <si>
    <t>Returns TRUE if the value is the #N/A error value</t>
  </si>
  <si>
    <t>ISNUMBER</t>
  </si>
  <si>
    <t>Returns TRUE if the value is a number</t>
  </si>
  <si>
    <t>ISREF</t>
  </si>
  <si>
    <t>Returns TRUE if the value is a reference</t>
  </si>
  <si>
    <t>ISTEXT</t>
  </si>
  <si>
    <t>Returns TRUE if the value is text</t>
  </si>
  <si>
    <t>Logical Functions</t>
  </si>
  <si>
    <t>AND</t>
  </si>
  <si>
    <t>Returns TRUE if all of its arguments are TRUE</t>
  </si>
  <si>
    <t>Returns the logical value FALSE</t>
  </si>
  <si>
    <t>Specifies a logical test to perform</t>
  </si>
  <si>
    <t>NOT</t>
  </si>
  <si>
    <t>Reverses the logic of its argument</t>
  </si>
  <si>
    <t>OR</t>
  </si>
  <si>
    <t>Returns TRUE if any argument is TRUE</t>
  </si>
  <si>
    <t>Returns the logical value TRUE</t>
  </si>
  <si>
    <t>Lookup and Reference Functions</t>
  </si>
  <si>
    <t>CHOOSE</t>
  </si>
  <si>
    <t>Chooses a value from a list of values</t>
  </si>
  <si>
    <t>GETPIVOTDATA</t>
  </si>
  <si>
    <t>Returns data stored in a PivotTable</t>
  </si>
  <si>
    <t>Looks in the top row of an array and returns the value of the indicated cell</t>
  </si>
  <si>
    <t>HYPERLINK</t>
  </si>
  <si>
    <t>Creates a shortcut or jump that opens a document stored on a network server, an intranet, or the Internet</t>
  </si>
  <si>
    <t>INDEX</t>
  </si>
  <si>
    <t>Uses an index to choose a value from a reference or array</t>
  </si>
  <si>
    <t>LOOKUP</t>
  </si>
  <si>
    <t>Looks up values in a vector or array</t>
  </si>
  <si>
    <t>TRANSPOSE</t>
  </si>
  <si>
    <t>Returns the transpose of an array</t>
  </si>
  <si>
    <t>Looks in the first column of an array and moves across the row to return the value of a cell</t>
  </si>
  <si>
    <t>Math and Trigonometry Functions</t>
  </si>
  <si>
    <t>RAND</t>
  </si>
  <si>
    <t>Returns a random number between 0 and 1</t>
  </si>
  <si>
    <t>RANDBETWEEN</t>
  </si>
  <si>
    <t>Returns a random number between the numbers you specify</t>
  </si>
  <si>
    <t>ROUND</t>
  </si>
  <si>
    <t>Rounds a number to a specified number of digits</t>
  </si>
  <si>
    <t>ROUNDDOWN</t>
  </si>
  <si>
    <t>Rounds a number down, toward zero</t>
  </si>
  <si>
    <t>ROUNDUP</t>
  </si>
  <si>
    <t>Rounds a number up, away from zero</t>
  </si>
  <si>
    <t>SIGN</t>
  </si>
  <si>
    <t>Returns the sign of a number</t>
  </si>
  <si>
    <t>SUBTOTAL</t>
  </si>
  <si>
    <t>Returns a subtotal in a list or database</t>
  </si>
  <si>
    <t>SUM</t>
  </si>
  <si>
    <t>Adds its arguments</t>
  </si>
  <si>
    <t>Adds the cells specified by a given criteria</t>
  </si>
  <si>
    <t>Returns the average of its arguments</t>
  </si>
  <si>
    <t>Counts how many numbers are in the list of arguments</t>
  </si>
  <si>
    <t>Counts how many values are in the list of arguments</t>
  </si>
  <si>
    <t>COUNTBLANK</t>
  </si>
  <si>
    <t>Counts the number of blank cells within a range</t>
  </si>
  <si>
    <t>Counts the number of nonblank cells within a range that meet the given criteria</t>
  </si>
  <si>
    <t>Returns the maximum value in a list of arguments</t>
  </si>
  <si>
    <t>Returns the minimum value in a list of arguments</t>
  </si>
  <si>
    <t>RANK</t>
  </si>
  <si>
    <t>Returns the rank of a number in a list of numbers</t>
  </si>
  <si>
    <t>CLEAN</t>
  </si>
  <si>
    <t>Removes all nonprintable characters from text</t>
  </si>
  <si>
    <t>CONCATENATE</t>
  </si>
  <si>
    <t>Joins several text items into one text item</t>
  </si>
  <si>
    <t>FIND, FINDB</t>
  </si>
  <si>
    <t>Finds one text value within another (case-sensitive)</t>
  </si>
  <si>
    <t>LEFT, LEFTB</t>
  </si>
  <si>
    <t>Returns the leftmost characters from a text value</t>
  </si>
  <si>
    <t>LEN, LENB</t>
  </si>
  <si>
    <t>Returns the number of characters in a text string</t>
  </si>
  <si>
    <t>LOWER</t>
  </si>
  <si>
    <t>Converts text to lowercase</t>
  </si>
  <si>
    <t>MID, MIDB</t>
  </si>
  <si>
    <t>Returns a specific number of characters from a text string starting at the position you specify</t>
  </si>
  <si>
    <t>PROPER</t>
  </si>
  <si>
    <t>Capitalizes the first letter in each word of a text value</t>
  </si>
  <si>
    <t>REPLACE, REPLACEB</t>
  </si>
  <si>
    <t>Replaces characters within text</t>
  </si>
  <si>
    <t>REPT</t>
  </si>
  <si>
    <t>Repeats text a given number of times</t>
  </si>
  <si>
    <t>RIGHT, RIGHTB</t>
  </si>
  <si>
    <t>Returns the rightmost characters from a text value</t>
  </si>
  <si>
    <t>SEARCH, SEARCHB</t>
  </si>
  <si>
    <t>Finds one text value within another (not case-sensitive)</t>
  </si>
  <si>
    <t>SUBSTITUTE</t>
  </si>
  <si>
    <t>Substitutes new text for old text in a text string</t>
  </si>
  <si>
    <t>TEXT</t>
  </si>
  <si>
    <t>Formats a number and converts it to text</t>
  </si>
  <si>
    <t>TRIM</t>
  </si>
  <si>
    <t>Removes spaces from text</t>
  </si>
  <si>
    <t>UPPER</t>
  </si>
  <si>
    <t>Converts text to uppercase</t>
  </si>
  <si>
    <t>VALUE</t>
  </si>
  <si>
    <t>Converts a text argument to a number</t>
  </si>
  <si>
    <t>Travel Expense</t>
  </si>
  <si>
    <t>Budget</t>
  </si>
  <si>
    <t>Actual</t>
  </si>
  <si>
    <t>IF Example - A Little More Complex:</t>
  </si>
  <si>
    <t>IF Example - Simple:</t>
  </si>
  <si>
    <t>AUTOMOBILE EXPENSE</t>
  </si>
  <si>
    <t>BANK SERVICE CHARGES</t>
  </si>
  <si>
    <t>CONFERENCE REGISTRATION FEES</t>
  </si>
  <si>
    <t>CONTRACT LABOR</t>
  </si>
  <si>
    <t>CONTRIBUTIONS</t>
  </si>
  <si>
    <t>DUES AND SUBSCRIPTIONS</t>
  </si>
  <si>
    <t>EQUIPMENT PURCHASE</t>
  </si>
  <si>
    <t>EQUIPMENT RENTAL</t>
  </si>
  <si>
    <t>HARDWARE PURCHASE</t>
  </si>
  <si>
    <t>INSURANCE</t>
  </si>
  <si>
    <t>MARKETING GIVEAWAYS</t>
  </si>
  <si>
    <t>MEMBERSHIPS</t>
  </si>
  <si>
    <t>MISCELLANEOUS</t>
  </si>
  <si>
    <t>OFFICE SUPPLIES</t>
  </si>
  <si>
    <t>ONLINE COMPUTER SERVICES</t>
  </si>
  <si>
    <t>OUTSIDE SERVICES</t>
  </si>
  <si>
    <t>PARTNER SALARY DRAW</t>
  </si>
  <si>
    <t>PAYROLL EXPENSES</t>
  </si>
  <si>
    <t>IF Example - A Slightly Larger Example:</t>
  </si>
  <si>
    <t>Exam Score</t>
  </si>
  <si>
    <t>Robyn Pertosky</t>
  </si>
  <si>
    <t>Letter Grade</t>
  </si>
  <si>
    <t>Kathy Doveworth</t>
  </si>
  <si>
    <t>Brenda Sardowsky</t>
  </si>
  <si>
    <t>Drew Laverless</t>
  </si>
  <si>
    <t>Kurt Fanning</t>
  </si>
  <si>
    <t>David Fullerton</t>
  </si>
  <si>
    <t>Grahma Hatsford</t>
  </si>
  <si>
    <t>Tax Rate</t>
  </si>
  <si>
    <t>If Example - 2009 IRS Tax Rate Schedules:</t>
  </si>
  <si>
    <t>Low</t>
  </si>
  <si>
    <t>High</t>
  </si>
  <si>
    <t>Taxable Income</t>
  </si>
  <si>
    <t>Tax Base</t>
  </si>
  <si>
    <t>Threshold</t>
  </si>
  <si>
    <t>Incremental Rate</t>
  </si>
  <si>
    <t>Taxpayer Status</t>
  </si>
  <si>
    <t>Tax</t>
  </si>
  <si>
    <t>A. Single</t>
  </si>
  <si>
    <t>B. Married/Widower</t>
  </si>
  <si>
    <t>C. Married - Sep</t>
  </si>
  <si>
    <t>D. Head /Household</t>
  </si>
  <si>
    <t>D. Head/Household</t>
  </si>
  <si>
    <t>Simpleton, Fred</t>
  </si>
  <si>
    <t>Norris, Carnie</t>
  </si>
  <si>
    <t>Hall, Nancy</t>
  </si>
  <si>
    <t>Wells, Diane</t>
  </si>
  <si>
    <t>Thomas, Doug</t>
  </si>
  <si>
    <t>Insurance?</t>
  </si>
  <si>
    <t>Hire Date</t>
  </si>
  <si>
    <t>Vacation Days Earned</t>
  </si>
  <si>
    <t>A. No Bonus</t>
  </si>
  <si>
    <t>B. Basic Bonus</t>
  </si>
  <si>
    <t>C. High Performance Bonus</t>
  </si>
  <si>
    <t>D. Super Bonus</t>
  </si>
  <si>
    <t>Bonus Level</t>
  </si>
  <si>
    <t>In this sample, there are four possibilities for bonuses.</t>
  </si>
  <si>
    <t>=if(B7&gt;1/1/08#AND#if(B7&lt;12/31/08),2008,2009)</t>
  </si>
  <si>
    <t>J. Carlton Collins</t>
  </si>
  <si>
    <t>=SUM(B4,B5,B6,B7,B8,B9,B10,B11)</t>
  </si>
  <si>
    <t>=D4+D5+D6+D7+D8+D9+D10+D11</t>
  </si>
  <si>
    <t>=SUM(F4:F11)</t>
  </si>
  <si>
    <t>Using Commas</t>
  </si>
  <si>
    <t>Using Plus Signs</t>
  </si>
  <si>
    <t>Using a Colon</t>
  </si>
  <si>
    <t>Assumptions:</t>
  </si>
  <si>
    <t>Increase in Revenue Assumed:</t>
  </si>
  <si>
    <t>Increase in Expenses Assumed:</t>
  </si>
  <si>
    <t>2009 Budget</t>
  </si>
  <si>
    <t>Ordinary Income/Expense</t>
  </si>
  <si>
    <t>Income</t>
  </si>
  <si>
    <t>4010 - Sales</t>
  </si>
  <si>
    <t>4020 - Cash Discount Given</t>
  </si>
  <si>
    <t>4210 - Write off</t>
  </si>
  <si>
    <t>Total Income</t>
  </si>
  <si>
    <t>Cost of Goods Sold</t>
  </si>
  <si>
    <t>4510 - Cost of Goods - Materials</t>
  </si>
  <si>
    <t>4530 - Cash Discount Taken</t>
  </si>
  <si>
    <t>Total COGS</t>
  </si>
  <si>
    <t>Gross Profit</t>
  </si>
  <si>
    <t>Gross Profit Percentage</t>
  </si>
  <si>
    <t>Expense</t>
  </si>
  <si>
    <t>5100 - Employee Wages</t>
  </si>
  <si>
    <t>5100 - Employee Wages - Other</t>
  </si>
  <si>
    <t>5110 - Wages</t>
  </si>
  <si>
    <t>5120 - Employee Benefits</t>
  </si>
  <si>
    <t>Total 5100 - Employee Wages</t>
  </si>
  <si>
    <t>5510 - Bank Charges</t>
  </si>
  <si>
    <t>5710 - Repairs and Maintenance Expenses</t>
  </si>
  <si>
    <t>6100 - Depreciation</t>
  </si>
  <si>
    <t>6120 - Depreciation Expenses/Equipment</t>
  </si>
  <si>
    <t>6125 - Depreciation Expenses/Furniture</t>
  </si>
  <si>
    <t>Total 6100 - Depreciation</t>
  </si>
  <si>
    <t>6210 - Office Supplies</t>
  </si>
  <si>
    <t>6310 - Insurance Vehicle</t>
  </si>
  <si>
    <t>6320 - Insurance Other</t>
  </si>
  <si>
    <t>6410 - Freight/Shipping Expenses</t>
  </si>
  <si>
    <t>6620 - Accounting Fees</t>
  </si>
  <si>
    <t>6760 - Other Expenses</t>
  </si>
  <si>
    <t>6770 - Travel Expenses</t>
  </si>
  <si>
    <t>6770 - Travel Expenses - Other</t>
  </si>
  <si>
    <t>Total 6770 - Travel Expenses</t>
  </si>
  <si>
    <t>6800 - Utilities</t>
  </si>
  <si>
    <t>6810 - Utilities - Electric and Gas</t>
  </si>
  <si>
    <t>6815 - Utilities - Telephone</t>
  </si>
  <si>
    <t>Total 6800 - Utilities</t>
  </si>
  <si>
    <t>6910 - Rental Expenses</t>
  </si>
  <si>
    <t>6915 - Leased Facilities</t>
  </si>
  <si>
    <t>Total 6910 - Rental Expenses</t>
  </si>
  <si>
    <t>7736 - Purchases</t>
  </si>
  <si>
    <t>Total Expense</t>
  </si>
  <si>
    <t>Net Ordinary Income</t>
  </si>
  <si>
    <t>Other Income/Expense</t>
  </si>
  <si>
    <t>Other Income</t>
  </si>
  <si>
    <t>8010 - Gain or Loss on Sale of Assets</t>
  </si>
  <si>
    <t>8020 - Finance Charge Income</t>
  </si>
  <si>
    <t>8030 - Interest Income</t>
  </si>
  <si>
    <t>Total Other Income</t>
  </si>
  <si>
    <t>Other Expense</t>
  </si>
  <si>
    <t>9010 - Interest Expenses</t>
  </si>
  <si>
    <t>Total Other Expense</t>
  </si>
  <si>
    <t>Net Other Income</t>
  </si>
  <si>
    <t>Total Net Income</t>
  </si>
  <si>
    <t>Net Income</t>
  </si>
  <si>
    <t>1st level subtotal</t>
  </si>
  <si>
    <t>2nd level subtotal</t>
  </si>
  <si>
    <t>Grand Total</t>
  </si>
  <si>
    <t>3rd Level Grand Total</t>
  </si>
  <si>
    <t>Item 1</t>
  </si>
  <si>
    <t>Item 2</t>
  </si>
  <si>
    <t>Item 3</t>
  </si>
  <si>
    <t>Value</t>
  </si>
  <si>
    <t>Expense:</t>
  </si>
  <si>
    <t>Apr</t>
  </si>
  <si>
    <t>May</t>
  </si>
  <si>
    <t>Jun</t>
  </si>
  <si>
    <t>POSTAGE AND DELIVERY</t>
  </si>
  <si>
    <t>PRINTING AND REPRODUCTION</t>
  </si>
  <si>
    <t>PURCHASE - THE ACCOUNTING LIBRA</t>
  </si>
  <si>
    <t>PURCHASES TAL- WEB STORE REPORT</t>
  </si>
  <si>
    <t>RENT</t>
  </si>
  <si>
    <t>REPAIRS</t>
  </si>
  <si>
    <t>SOFTWARE PURCHASE</t>
  </si>
  <si>
    <t>SSI-MISC</t>
  </si>
  <si>
    <t>TAXES</t>
  </si>
  <si>
    <t>FEDERAL</t>
  </si>
  <si>
    <t>STATE</t>
  </si>
  <si>
    <t>TOTAL TAXES</t>
  </si>
  <si>
    <t/>
  </si>
  <si>
    <t>TOTAL EXPENSES</t>
  </si>
  <si>
    <t>Invoice Number</t>
  </si>
  <si>
    <t>Customer</t>
  </si>
  <si>
    <t>Alan Akers</t>
  </si>
  <si>
    <t>316 Wild Heron Road</t>
  </si>
  <si>
    <t>St. Simons Island, GA 31522</t>
  </si>
  <si>
    <t>912-638-5009</t>
  </si>
  <si>
    <t>Robin Allen</t>
  </si>
  <si>
    <t>269 Old Plantation Trail</t>
  </si>
  <si>
    <t>Milledgeville, GA</t>
  </si>
  <si>
    <t>478-968-5313</t>
  </si>
  <si>
    <t>Robinandtonypeters@Alltel.Net</t>
  </si>
  <si>
    <t>Ricky Albright</t>
  </si>
  <si>
    <t>Tamara Andrews</t>
  </si>
  <si>
    <t>Joanna Arbo Brand</t>
  </si>
  <si>
    <t>Donnie Aspinwall</t>
  </si>
  <si>
    <t>Kelly Astle</t>
  </si>
  <si>
    <t>Alphonso J. Atkinson</t>
  </si>
  <si>
    <t>3787Landgraf Cove</t>
  </si>
  <si>
    <t>Decatur, GA 30034</t>
  </si>
  <si>
    <t>404-212-1981</t>
  </si>
  <si>
    <t>Atk3787@Aol.Com</t>
  </si>
  <si>
    <t>Alvin Atkinson</t>
  </si>
  <si>
    <t>2717 Bethel Ct</t>
  </si>
  <si>
    <t>Winston-Salem, NC 27127</t>
  </si>
  <si>
    <t>336-764-3532</t>
  </si>
  <si>
    <t>Atkinsona@Wssu.Edu</t>
  </si>
  <si>
    <t>Danette Austin</t>
  </si>
  <si>
    <t>Yvonne Baker Williams</t>
  </si>
  <si>
    <t>5600 Altama Ave., Apt. A-1</t>
  </si>
  <si>
    <t>Brunswick, GA  31520</t>
  </si>
  <si>
    <t>912-264-5910</t>
  </si>
  <si>
    <t>Susan Baker</t>
  </si>
  <si>
    <t>John Lamar Bakley</t>
  </si>
  <si>
    <t>Jacksonville, FL  32223</t>
  </si>
  <si>
    <t>904-268-0851</t>
  </si>
  <si>
    <t xml:space="preserve">Teresa Baldwin </t>
  </si>
  <si>
    <t>121 Riverridge Road</t>
  </si>
  <si>
    <t>912/265-2616</t>
  </si>
  <si>
    <t>Richard Banks</t>
  </si>
  <si>
    <t>1941 Salisbury Way</t>
  </si>
  <si>
    <t>Hinesville, GA 31313</t>
  </si>
  <si>
    <t>912-369-3336</t>
  </si>
  <si>
    <t>Richard.Banks@Vba.Pa.Gov</t>
  </si>
  <si>
    <t>Charles Banks</t>
  </si>
  <si>
    <t>498 Baisden Lane</t>
  </si>
  <si>
    <t>St. Simons Island,  GA  31522</t>
  </si>
  <si>
    <t>912-638-8873</t>
  </si>
  <si>
    <t>Sandra Barrs Carter</t>
  </si>
  <si>
    <t>Jacki Barton</t>
  </si>
  <si>
    <t>David Beard</t>
  </si>
  <si>
    <t>5519 New. Jesup Hwy</t>
  </si>
  <si>
    <t>Brunswick, GA 31523</t>
  </si>
  <si>
    <t>912-267-7401</t>
  </si>
  <si>
    <t>Keith Bell</t>
  </si>
  <si>
    <t>118 Belvedere Lane</t>
  </si>
  <si>
    <t>Peachtree City, GA 30269</t>
  </si>
  <si>
    <t>770-632-9875</t>
  </si>
  <si>
    <t>Alankeithbell@Comcast.Net</t>
  </si>
  <si>
    <t>Sandy Bennett</t>
  </si>
  <si>
    <t>Teresa Bennett</t>
  </si>
  <si>
    <t xml:space="preserve">Beth Berrie </t>
  </si>
  <si>
    <t>511 Avenida Primiceria</t>
  </si>
  <si>
    <t>Marathon, FL      33050</t>
  </si>
  <si>
    <t>305-289-0068</t>
  </si>
  <si>
    <t>Bethoceanbreeze@Aol.Com</t>
  </si>
  <si>
    <t>Jeff Biro</t>
  </si>
  <si>
    <t>Doug Blanton</t>
  </si>
  <si>
    <t>322 Terrapin Trail</t>
  </si>
  <si>
    <t>Brunswick, GA 31525</t>
  </si>
  <si>
    <t>912-270-5300</t>
  </si>
  <si>
    <t>Terrie Blue</t>
  </si>
  <si>
    <t>Fuller Blue</t>
  </si>
  <si>
    <t>Arvetta Blythewood</t>
  </si>
  <si>
    <t>Roy J. Boyd, Jr.</t>
  </si>
  <si>
    <t>311 Hawkins Island Drive</t>
  </si>
  <si>
    <t>912 634 3873</t>
  </si>
  <si>
    <t>Royboyd@Bellsouth.Net</t>
  </si>
  <si>
    <t>Chuck Boyer</t>
  </si>
  <si>
    <t>116 Riverview Drive</t>
  </si>
  <si>
    <t>Brenda Braddock Bell</t>
  </si>
  <si>
    <t>Ron Bridgefarmer</t>
  </si>
  <si>
    <t>Katherine Brown Thomas</t>
  </si>
  <si>
    <t>Pat Brown</t>
  </si>
  <si>
    <t>Richard Brown</t>
  </si>
  <si>
    <t>Beverly Brooker</t>
  </si>
  <si>
    <t>Eddie Brown</t>
  </si>
  <si>
    <t>911 W. Ohio Ave</t>
  </si>
  <si>
    <t>Tampa, FL</t>
  </si>
  <si>
    <t>Sgt Carl Brown</t>
  </si>
  <si>
    <t>166 King Cotton Road</t>
  </si>
  <si>
    <t>Brunswick, GA 31520</t>
  </si>
  <si>
    <t>912-261-8707</t>
  </si>
  <si>
    <t>Anthony Brown</t>
  </si>
  <si>
    <t>2824 Ellis Street</t>
  </si>
  <si>
    <t>912-262-6227</t>
  </si>
  <si>
    <t>Carl Bryant</t>
  </si>
  <si>
    <t>Janet Buchan Lai</t>
  </si>
  <si>
    <t>Robert Buchan</t>
  </si>
  <si>
    <t>Sidney Buckley</t>
  </si>
  <si>
    <t>1011 Wolfe Street</t>
  </si>
  <si>
    <t>912-265-4319</t>
  </si>
  <si>
    <t>Nancy Buckley</t>
  </si>
  <si>
    <t>Darryl Buffkin</t>
  </si>
  <si>
    <t>Mark Bufkin</t>
  </si>
  <si>
    <t>1210 Beech Valley Road, Ne</t>
  </si>
  <si>
    <t>Atlanta, GA 30306</t>
  </si>
  <si>
    <t>404-875-7946</t>
  </si>
  <si>
    <t>Markbufkin@Bellsouth.Net</t>
  </si>
  <si>
    <t>Joy Bunckley</t>
  </si>
  <si>
    <t>Rt 6, Box 500-B</t>
  </si>
  <si>
    <t>Brunswick, GA  31620</t>
  </si>
  <si>
    <t>Freddy Burch</t>
  </si>
  <si>
    <t>144355 Sandy Brook Rd</t>
  </si>
  <si>
    <t>Jacksonville, FL  32224</t>
  </si>
  <si>
    <t>Cisco Burnem</t>
  </si>
  <si>
    <t>Levi Burnley</t>
  </si>
  <si>
    <t>William Burns</t>
  </si>
  <si>
    <t>Gary Byrd</t>
  </si>
  <si>
    <t>Duane Byron</t>
  </si>
  <si>
    <t>Ernest Caine</t>
  </si>
  <si>
    <t>179 Yorktown Drive</t>
  </si>
  <si>
    <t>Brunswick, GA 31535</t>
  </si>
  <si>
    <t>Barbara Ann Carmena</t>
  </si>
  <si>
    <t>Michael Carmichael</t>
  </si>
  <si>
    <t>108 Crossbrook Dr</t>
  </si>
  <si>
    <t>Brunswick, GA  31525</t>
  </si>
  <si>
    <t>912-280-0008</t>
  </si>
  <si>
    <t>Glenn Carson</t>
  </si>
  <si>
    <t>1008 Manor Court</t>
  </si>
  <si>
    <t>Brentwood, TN 37027</t>
  </si>
  <si>
    <t>615-377-5574</t>
  </si>
  <si>
    <t>Reverendcarson@Yahoo.Com</t>
  </si>
  <si>
    <t>Charm Carter</t>
  </si>
  <si>
    <t>Gary Carter</t>
  </si>
  <si>
    <t>Franklin Cash</t>
  </si>
  <si>
    <t>8555 Bowen Court</t>
  </si>
  <si>
    <t>Jonesboro, GA  30236</t>
  </si>
  <si>
    <t>R. V. Cate</t>
  </si>
  <si>
    <t>412 Reynolds Street</t>
  </si>
  <si>
    <t>Mike Chaney</t>
  </si>
  <si>
    <t>1619 Niles Avenue</t>
  </si>
  <si>
    <t>(912) 265-6520</t>
  </si>
  <si>
    <t>Mchaney3@Bellsouth.Net</t>
  </si>
  <si>
    <t>Jeff Chapman</t>
  </si>
  <si>
    <t>P.O Box 3119</t>
  </si>
  <si>
    <t>912-261-2938</t>
  </si>
  <si>
    <t>Senatorchapman@Comcast.Net</t>
  </si>
  <si>
    <t>Ralph Cherry</t>
  </si>
  <si>
    <t>Sharon Chitwood Lovin</t>
  </si>
  <si>
    <t>Mark Chitty</t>
  </si>
  <si>
    <t>518 Clements Circle</t>
  </si>
  <si>
    <t>912-634-8360</t>
  </si>
  <si>
    <t>Petexchange@Adelphia.Net</t>
  </si>
  <si>
    <t xml:space="preserve">Joe Ann Cline </t>
  </si>
  <si>
    <t>P.O. Box 1502</t>
  </si>
  <si>
    <t>Statesboro, GA  30459</t>
  </si>
  <si>
    <t>(912) 852-9096</t>
  </si>
  <si>
    <t>Joeannbohler@Yahoo.Com</t>
  </si>
  <si>
    <t>Eleanor Clinch-Hutton</t>
  </si>
  <si>
    <t>Po Box 44145</t>
  </si>
  <si>
    <t>Fort Washington, Md 20749-4145</t>
  </si>
  <si>
    <t>301-455-2115</t>
  </si>
  <si>
    <t>Coyzstuff@Yahoo.Com</t>
  </si>
  <si>
    <t>David Clifton</t>
  </si>
  <si>
    <t>Carlton Collins</t>
  </si>
  <si>
    <t>4480 Missendell Lane</t>
  </si>
  <si>
    <t>Norcross, GA 30092</t>
  </si>
  <si>
    <t>770.734.0350</t>
  </si>
  <si>
    <t>Carlton@Asaresearch.Com</t>
  </si>
  <si>
    <t>Syndie Conaway</t>
  </si>
  <si>
    <t>Ralph Conner</t>
  </si>
  <si>
    <t>654 North Golf Villas, St. Simons Island, Ga 31522</t>
  </si>
  <si>
    <t>634-4935</t>
  </si>
  <si>
    <t>Pam Corbitt Talley</t>
  </si>
  <si>
    <t>135 Cardinal Rd, #504</t>
  </si>
  <si>
    <t>912-265-0531</t>
  </si>
  <si>
    <t>Raptalley@Adelphia.Net</t>
  </si>
  <si>
    <t>Paula Cosgrove</t>
  </si>
  <si>
    <t>Randy J. Cribb</t>
  </si>
  <si>
    <t>615 Union Street</t>
  </si>
  <si>
    <t>265-5234</t>
  </si>
  <si>
    <t>996-6440</t>
  </si>
  <si>
    <t>Marvin Crooks</t>
  </si>
  <si>
    <t>1450 Gardiner Lane</t>
  </si>
  <si>
    <t>Louisville, KY 40213</t>
  </si>
  <si>
    <t>(502) 459-2211</t>
  </si>
  <si>
    <t>Beverly Cross</t>
  </si>
  <si>
    <t>Pete Culver</t>
  </si>
  <si>
    <t>400 Brewster Lane</t>
  </si>
  <si>
    <t>Saint Simons Island, GA  31522</t>
  </si>
  <si>
    <t>912-638-8330</t>
  </si>
  <si>
    <t>Ellabella03@Bellsouth.Net</t>
  </si>
  <si>
    <t>Diane Dallas</t>
  </si>
  <si>
    <t>1231 Greenfield</t>
  </si>
  <si>
    <t>Nashville, TN 37216</t>
  </si>
  <si>
    <t>Greg Daniel</t>
  </si>
  <si>
    <t>111 Stu Daniel Drive</t>
  </si>
  <si>
    <t>912/265-2313</t>
  </si>
  <si>
    <t>Mary Davis Stump</t>
  </si>
  <si>
    <t>Rt 2, 375-B, Arrowpoint Rd.</t>
  </si>
  <si>
    <t>Jackson, GA  30233</t>
  </si>
  <si>
    <t>404-775-1820</t>
  </si>
  <si>
    <t>Kim Davis</t>
  </si>
  <si>
    <t>135 Lake View Circle</t>
  </si>
  <si>
    <t>Tim Davis</t>
  </si>
  <si>
    <t>Alicia Davis</t>
  </si>
  <si>
    <t>2311 Pinewood Drive</t>
  </si>
  <si>
    <t>912-554-8951</t>
  </si>
  <si>
    <t>Anthony Davis</t>
  </si>
  <si>
    <t>Grand Cayman Island</t>
  </si>
  <si>
    <t>Anthony.Davis@Ritzcarlton.Com</t>
  </si>
  <si>
    <t>Marolyn Day</t>
  </si>
  <si>
    <t>139 River Ridge Rd</t>
  </si>
  <si>
    <t>Larry Delaney</t>
  </si>
  <si>
    <t>158 St. Clair Dr</t>
  </si>
  <si>
    <t>Ssi, GA 31522</t>
  </si>
  <si>
    <t>912-638-6911</t>
  </si>
  <si>
    <t>Larrydelaney@Mail.Homes.Com</t>
  </si>
  <si>
    <t>Sandra</t>
  </si>
  <si>
    <t>Greg Demery</t>
  </si>
  <si>
    <t>671 Brookman Road</t>
  </si>
  <si>
    <t>912-225-4756</t>
  </si>
  <si>
    <t>Mike D'Emillio</t>
  </si>
  <si>
    <t>122 Sherwood Forest Cir</t>
  </si>
  <si>
    <t>Brunswick,  GA  31525</t>
  </si>
  <si>
    <t>912-264-2490</t>
  </si>
  <si>
    <t>Don Dennis</t>
  </si>
  <si>
    <t>Richard Deter</t>
  </si>
  <si>
    <t>David Dieters</t>
  </si>
  <si>
    <t>Emanuel Dillon</t>
  </si>
  <si>
    <t>Herman Dixon</t>
  </si>
  <si>
    <t>Gail Dysek (Dizik) Tindall</t>
  </si>
  <si>
    <t xml:space="preserve">224 Beachside Drive </t>
  </si>
  <si>
    <t>265-3222</t>
  </si>
  <si>
    <t>Lladnit@Bellsouth.Net</t>
  </si>
  <si>
    <t>Leanard Dobson</t>
  </si>
  <si>
    <t>Stephen Doster</t>
  </si>
  <si>
    <t>4107 Rockdale Dr</t>
  </si>
  <si>
    <t>Nashville, TN</t>
  </si>
  <si>
    <t>Bennie Dotson</t>
  </si>
  <si>
    <t>Brian K. Drew</t>
  </si>
  <si>
    <t>16 Brunswick Point Drive</t>
  </si>
  <si>
    <t>912-267-5663</t>
  </si>
  <si>
    <t>Briankdrew@Gmail.Com</t>
  </si>
  <si>
    <t>Alfred Drury</t>
  </si>
  <si>
    <t>126 W. Flanders Dr</t>
  </si>
  <si>
    <t>Brunswick, GA  31523</t>
  </si>
  <si>
    <t>Tony Early</t>
  </si>
  <si>
    <t>Clay Easterling</t>
  </si>
  <si>
    <t>1215 Connor Road</t>
  </si>
  <si>
    <t>Ft Sill, OK  73503</t>
  </si>
  <si>
    <t>Gwen Ellis</t>
  </si>
  <si>
    <t>716 Calibre Lake Parkway</t>
  </si>
  <si>
    <t>Smyrna GA 30083</t>
  </si>
  <si>
    <t>Stephen Esmond</t>
  </si>
  <si>
    <t>1015 Courtland Avenue</t>
  </si>
  <si>
    <t>Macon, GA  31204</t>
  </si>
  <si>
    <t>Geneva Evans</t>
  </si>
  <si>
    <t>Allen Evitts</t>
  </si>
  <si>
    <t>Cumming, GA</t>
  </si>
  <si>
    <t>404-713-5963</t>
  </si>
  <si>
    <t>Allenevitts@Mindspring.Com</t>
  </si>
  <si>
    <t>Kathy Faust Bunnell</t>
  </si>
  <si>
    <t>2908 Bridlewood Lane</t>
  </si>
  <si>
    <t>Jacksonville, FL 32257</t>
  </si>
  <si>
    <t>904-737-8032</t>
  </si>
  <si>
    <t>Kbbunnell@Comcast.Net</t>
  </si>
  <si>
    <t>Albert Fendig</t>
  </si>
  <si>
    <t>1535 Lake Koinonia Dr,</t>
  </si>
  <si>
    <t>Woodsrock, GA 30189</t>
  </si>
  <si>
    <t>770-516-1804</t>
  </si>
  <si>
    <t>Becky Fisher</t>
  </si>
  <si>
    <t>Henry Fleming</t>
  </si>
  <si>
    <t>331 Chatteris Road</t>
  </si>
  <si>
    <t>Irmo, SC  29063</t>
  </si>
  <si>
    <t>Patricia Flourence Stanford</t>
  </si>
  <si>
    <t>3200 Cypress Mill Road - #422</t>
  </si>
  <si>
    <t>Rusty Flournoy</t>
  </si>
  <si>
    <t>103 Cayman Court</t>
  </si>
  <si>
    <t>912-265-8079</t>
  </si>
  <si>
    <t>Rose Mary Flowers</t>
  </si>
  <si>
    <t>903 Bartow Street</t>
  </si>
  <si>
    <t>Donna Fox Mason</t>
  </si>
  <si>
    <t>110 Rosemont Street</t>
  </si>
  <si>
    <t>Saint Simons Island, GA 31522</t>
  </si>
  <si>
    <t>(912)638-5705</t>
  </si>
  <si>
    <t>Donnafmas@Comcast.Net</t>
  </si>
  <si>
    <t>Donna J. Frank</t>
  </si>
  <si>
    <t>P.O. Box 82</t>
  </si>
  <si>
    <t>White Oak, GA  31568</t>
  </si>
  <si>
    <t>E-Mail</t>
  </si>
  <si>
    <t>Date</t>
  </si>
  <si>
    <t>Sale</t>
  </si>
  <si>
    <t>Service</t>
  </si>
  <si>
    <t>Support</t>
  </si>
  <si>
    <t>Amount</t>
  </si>
  <si>
    <t>Girl Scout Cookie Sales</t>
  </si>
  <si>
    <t>Boxes Ordered</t>
  </si>
  <si>
    <t>Tag Alongs</t>
  </si>
  <si>
    <t>Thin Mints</t>
  </si>
  <si>
    <t>Daisy Go Rounds</t>
  </si>
  <si>
    <t>Trefolis</t>
  </si>
  <si>
    <t>Do-Si-Dos</t>
  </si>
  <si>
    <t>Samoas</t>
  </si>
  <si>
    <t>Total</t>
  </si>
  <si>
    <t>Total Boxes Ordered</t>
  </si>
  <si>
    <t>Number of Orders</t>
  </si>
  <si>
    <t>COUNT - Counts how many numbers are in the list of arguments</t>
  </si>
  <si>
    <t>COUNTA - Counts how many nonblank cells in the list of arguments</t>
  </si>
  <si>
    <t>2 cases</t>
  </si>
  <si>
    <t>1 case</t>
  </si>
  <si>
    <t>3 cases</t>
  </si>
  <si>
    <t>4 boxes</t>
  </si>
  <si>
    <t>6 boxes</t>
  </si>
  <si>
    <t>1 box</t>
  </si>
  <si>
    <t>3 boxes</t>
  </si>
  <si>
    <t>=AVERAGE(F4:F11)</t>
  </si>
  <si>
    <t>=AVERAGE(B4,B5,B6,B7,B8,B9,B10,B11)</t>
  </si>
  <si>
    <t>Comments:</t>
  </si>
  <si>
    <t>Blank cells are not calculated into the average</t>
  </si>
  <si>
    <t>Zeros are calculated into the average</t>
  </si>
  <si>
    <t>AVERAGE - Returns the average of a range of numbers</t>
  </si>
  <si>
    <t>COUNTBLANK - Counts the number of blank cells within a range</t>
  </si>
  <si>
    <t>2011 Budget</t>
  </si>
  <si>
    <t>Automobile Expense</t>
  </si>
  <si>
    <t>Bank Service Charges</t>
  </si>
  <si>
    <t>Conference Registration Fees</t>
  </si>
  <si>
    <t>Contract Labor</t>
  </si>
  <si>
    <t>Contributions</t>
  </si>
  <si>
    <t>Dues And Subscriptions</t>
  </si>
  <si>
    <t>Equipment Purchase</t>
  </si>
  <si>
    <t>Equipment Rental</t>
  </si>
  <si>
    <t>Hardware Purchase</t>
  </si>
  <si>
    <t>Insurance</t>
  </si>
  <si>
    <t>Marketing Giveaways</t>
  </si>
  <si>
    <t>Memberships</t>
  </si>
  <si>
    <t>Miscellaneous</t>
  </si>
  <si>
    <t>Office Supplies</t>
  </si>
  <si>
    <t>Online Computer Services</t>
  </si>
  <si>
    <t>Outside Services</t>
  </si>
  <si>
    <t>Partner Salary Draw</t>
  </si>
  <si>
    <t>Payroll Expenses</t>
  </si>
  <si>
    <t>Postage And Delivery</t>
  </si>
  <si>
    <t>Printing And Reproduction</t>
  </si>
  <si>
    <t>Purchase - The Accounting Libra</t>
  </si>
  <si>
    <t>Purchases Tal- Web Store Report</t>
  </si>
  <si>
    <t>Rent</t>
  </si>
  <si>
    <t>Repairs</t>
  </si>
  <si>
    <t>Software Purchase</t>
  </si>
  <si>
    <t>Ssi-Misc</t>
  </si>
  <si>
    <t>Federal</t>
  </si>
  <si>
    <t>Total Expenses</t>
  </si>
  <si>
    <t>560 Planters Wart Blvd</t>
  </si>
  <si>
    <t>San Francisco, CA</t>
  </si>
  <si>
    <t xml:space="preserve">Number of addresses missing </t>
  </si>
  <si>
    <t>Number of sales invoices</t>
  </si>
  <si>
    <t>Number of service invoices</t>
  </si>
  <si>
    <t>Number of support invoices</t>
  </si>
  <si>
    <t>VALUE - Converts text to a number</t>
  </si>
  <si>
    <t>Pos.</t>
  </si>
  <si>
    <t>Yr.</t>
  </si>
  <si>
    <t>Exp.</t>
  </si>
  <si>
    <t>Ht./Wt.</t>
  </si>
  <si>
    <t>Hometown (last school)</t>
  </si>
  <si>
    <t>Austin Long</t>
  </si>
  <si>
    <t>OL</t>
  </si>
  <si>
    <t>Fr.</t>
  </si>
  <si>
    <t>SQ</t>
  </si>
  <si>
    <t>6-5/268</t>
  </si>
  <si>
    <t>Memphis, TN (Briarcrest Christina HS)</t>
  </si>
  <si>
    <t>Branden Smith</t>
  </si>
  <si>
    <t>CB</t>
  </si>
  <si>
    <t>So.</t>
  </si>
  <si>
    <t>1V</t>
  </si>
  <si>
    <t>5-11/169</t>
  </si>
  <si>
    <t>Atlanta, GA (Washington HS)</t>
  </si>
  <si>
    <t>Brandon Boykin</t>
  </si>
  <si>
    <t>Jr.</t>
  </si>
  <si>
    <t>2V</t>
  </si>
  <si>
    <t>5-10/180</t>
  </si>
  <si>
    <t>Fayetteville, GA (Fayette County HS)</t>
  </si>
  <si>
    <t>Bryan Evans</t>
  </si>
  <si>
    <t>S</t>
  </si>
  <si>
    <t>Sr.</t>
  </si>
  <si>
    <t>4V</t>
  </si>
  <si>
    <t>5-11/197</t>
  </si>
  <si>
    <t>Jacksonville, FL (Ed White HS)</t>
  </si>
  <si>
    <t>Caleb King</t>
  </si>
  <si>
    <t>RB</t>
  </si>
  <si>
    <t>5-11/211</t>
  </si>
  <si>
    <t>Norcross, GA (Greater Atl. Christian HS)</t>
  </si>
  <si>
    <t>Zach Mettenberger</t>
  </si>
  <si>
    <t>QB</t>
  </si>
  <si>
    <t>6-5/239</t>
  </si>
  <si>
    <t>Watkinsville, GA (Oconee Co. HS)</t>
  </si>
  <si>
    <t>Logan Gray</t>
  </si>
  <si>
    <t>6-2/192</t>
  </si>
  <si>
    <t>Columbia, MO (Rock Bridge HS)</t>
  </si>
  <si>
    <t>Orson Charles</t>
  </si>
  <si>
    <t>TE</t>
  </si>
  <si>
    <t>6-3/232</t>
  </si>
  <si>
    <t>Tampa, FL (Plant HS)</t>
  </si>
  <si>
    <t>A.J. Green</t>
  </si>
  <si>
    <t>WR</t>
  </si>
  <si>
    <t>6-5/205</t>
  </si>
  <si>
    <t>Summerville, SC (Summerville HS)</t>
  </si>
  <si>
    <t>Reshad Jones</t>
  </si>
  <si>
    <t>6-2/215</t>
  </si>
  <si>
    <t>Jordan Love</t>
  </si>
  <si>
    <t>6-0/185</t>
  </si>
  <si>
    <t>Glen Allen, VA (Deep Run HS)</t>
  </si>
  <si>
    <t>Aaron Murray</t>
  </si>
  <si>
    <t>6-1/207</t>
  </si>
  <si>
    <t>Tavarres King</t>
  </si>
  <si>
    <t>6-1/182</t>
  </si>
  <si>
    <t>Mount Airy, GA (Habersham Central HS)</t>
  </si>
  <si>
    <t>Drew Butler</t>
  </si>
  <si>
    <t>P</t>
  </si>
  <si>
    <t>6-2/201</t>
  </si>
  <si>
    <t>Duluth, GA (Peachtree Ridge HS)</t>
  </si>
  <si>
    <t>Blake Sailors</t>
  </si>
  <si>
    <t>5-11/176</t>
  </si>
  <si>
    <t>Athens, GA (Oconee Co. HS)</t>
  </si>
  <si>
    <t>Marlon Brown</t>
  </si>
  <si>
    <t>HS</t>
  </si>
  <si>
    <t>6-5/212</t>
  </si>
  <si>
    <t>Memphis, TN (Harding Academy)</t>
  </si>
  <si>
    <t>Kris Durham</t>
  </si>
  <si>
    <t>3V</t>
  </si>
  <si>
    <t>6-5/206</t>
  </si>
  <si>
    <t>Calhoun, GA (Calhoun HS)</t>
  </si>
  <si>
    <t>Josh Murray</t>
  </si>
  <si>
    <t>Tampa, (Plant HS)</t>
  </si>
  <si>
    <t>Rantavious Wooten</t>
  </si>
  <si>
    <t>5-10/173</t>
  </si>
  <si>
    <t>Belle Grales, FL (Glades Central HS)</t>
  </si>
  <si>
    <t>Bacarri Rambo</t>
  </si>
  <si>
    <t>6-0/210</t>
  </si>
  <si>
    <t>Donalsonville, GA (Seminole County HS)</t>
  </si>
  <si>
    <t>Sanders Commings</t>
  </si>
  <si>
    <t>6-2/210</t>
  </si>
  <si>
    <t>Augusta, GA (Westside HS)</t>
  </si>
  <si>
    <t>Richard Samuel</t>
  </si>
  <si>
    <t>OLB</t>
  </si>
  <si>
    <t>6-2/218</t>
  </si>
  <si>
    <t>Cartersville, GA (Cass HS)</t>
  </si>
  <si>
    <t>Prince Miller</t>
  </si>
  <si>
    <t>5-8/195</t>
  </si>
  <si>
    <t>Duncan, SC (Byrnes HS)</t>
  </si>
  <si>
    <t>Jakar Hamilton</t>
  </si>
  <si>
    <t>JC</t>
  </si>
  <si>
    <t>6-2/196</t>
  </si>
  <si>
    <t>Edgeville, SC (Strom Thurmond HS)</t>
  </si>
  <si>
    <t>Washaun Ealey</t>
  </si>
  <si>
    <t>TB</t>
  </si>
  <si>
    <t>Stillmore, GA (ECI)</t>
  </si>
  <si>
    <t>Vance Cuff</t>
  </si>
  <si>
    <t>5-11/174</t>
  </si>
  <si>
    <t>Moultrie, GA (Colquitt Co. HS)</t>
  </si>
  <si>
    <t>Dontavius Jackson</t>
  </si>
  <si>
    <t>5-10/204</t>
  </si>
  <si>
    <t>Franklin, GA (Heard Co. HS)</t>
  </si>
  <si>
    <t>Israel Troupe</t>
  </si>
  <si>
    <t>6-1/209</t>
  </si>
  <si>
    <t>Tifton, GA (Tift County HS)</t>
  </si>
  <si>
    <t>Makiri Pugh</t>
  </si>
  <si>
    <t>6-0/201</t>
  </si>
  <si>
    <t>Charlotte, NC (Independence HS)</t>
  </si>
  <si>
    <t>Eric Elliot</t>
  </si>
  <si>
    <t>5-9/192</t>
  </si>
  <si>
    <t>Kennesaw, GA (Kennesaw Mountain)</t>
  </si>
  <si>
    <t>Carlton Thomas</t>
  </si>
  <si>
    <t>5-7/179</t>
  </si>
  <si>
    <t>Frostproof, FL (Frostproof HS)</t>
  </si>
  <si>
    <t>Quintin Banks</t>
  </si>
  <si>
    <t>Warner Robins, GA (Houston Co. HS)</t>
  </si>
  <si>
    <t>Brandon Bogotay</t>
  </si>
  <si>
    <t>K</t>
  </si>
  <si>
    <t>6-3/200</t>
  </si>
  <si>
    <t>San Diego, CA (Patrick Henry HS)</t>
  </si>
  <si>
    <t>Kalvin Daniels</t>
  </si>
  <si>
    <t>5-10/197</t>
  </si>
  <si>
    <t>Eastman, GA (Dodge Co. HS)</t>
  </si>
  <si>
    <t>Chase Vasser</t>
  </si>
  <si>
    <t>LB</t>
  </si>
  <si>
    <t>6-3/217</t>
  </si>
  <si>
    <t>Gainesville, GA (Chestatee HS)</t>
  </si>
  <si>
    <t>Rennie Curran</t>
  </si>
  <si>
    <t>5-11/226</t>
  </si>
  <si>
    <t>Snellville, GA (Brookwood HS)</t>
  </si>
  <si>
    <t>Shawn Williams</t>
  </si>
  <si>
    <t>6-1/200</t>
  </si>
  <si>
    <t>Blakely, GA (Earley Co. HS)</t>
  </si>
  <si>
    <t>Akeem Hebron</t>
  </si>
  <si>
    <t>6-1/226</t>
  </si>
  <si>
    <t>Gaithersburg, MD (Good Counsel HS)</t>
  </si>
  <si>
    <t>Marcus Dowtin</t>
  </si>
  <si>
    <t>ILB</t>
  </si>
  <si>
    <t>6-2/219</t>
  </si>
  <si>
    <t>Upper Marlboro, MD (Bishop O'Connell HS)</t>
  </si>
  <si>
    <t>Nick Williams</t>
  </si>
  <si>
    <t>Bainbridge, GA (Bainbridge HS)</t>
  </si>
  <si>
    <t>Justin Houston</t>
  </si>
  <si>
    <t>6-3/264</t>
  </si>
  <si>
    <t>Statesboro, GA (Statesboro HS)</t>
  </si>
  <si>
    <t>Kevin Lanier</t>
  </si>
  <si>
    <t>FB</t>
  </si>
  <si>
    <t>5-11/213</t>
  </si>
  <si>
    <t>Woodstock, GA (Marist HS)</t>
  </si>
  <si>
    <t>Charles White</t>
  </si>
  <si>
    <t>6-1/230</t>
  </si>
  <si>
    <t>Columbia, SC (Blythewood HS)</t>
  </si>
  <si>
    <t>Marcus Washington</t>
  </si>
  <si>
    <t>6-0/258</t>
  </si>
  <si>
    <t>Keysville, GA (Burke Co. HS)</t>
  </si>
  <si>
    <t>Josh Sailors</t>
  </si>
  <si>
    <t>5-9/240</t>
  </si>
  <si>
    <t>Christian Robinson</t>
  </si>
  <si>
    <t>6-2/217</t>
  </si>
  <si>
    <t>Chad Gloer</t>
  </si>
  <si>
    <t>5-10/198</t>
  </si>
  <si>
    <t>Fayetteville, GA (Starrs Mill HS)</t>
  </si>
  <si>
    <t>Jackson Griffeth</t>
  </si>
  <si>
    <t>6-2/197</t>
  </si>
  <si>
    <t>Gainesville, GA (North Hall HS)</t>
  </si>
  <si>
    <t>Fred Munzenmaier</t>
  </si>
  <si>
    <t>6-2/242</t>
  </si>
  <si>
    <t>Norcross, GA (Norcross HS)</t>
  </si>
  <si>
    <t>Shaun Chapas</t>
  </si>
  <si>
    <t>6-2/246</t>
  </si>
  <si>
    <t>St. Augustine, FL (Jacksonville Bolles HS)</t>
  </si>
  <si>
    <t>Darryl Gamble</t>
  </si>
  <si>
    <t>6-2/257</t>
  </si>
  <si>
    <t>Akeem Dent</t>
  </si>
  <si>
    <t>6-2/228</t>
  </si>
  <si>
    <t>Atlanta, GA (Douglass HS)</t>
  </si>
  <si>
    <t>Darius Dewberry</t>
  </si>
  <si>
    <t>6-3/233</t>
  </si>
  <si>
    <t>Fort Valley, GA (Peach Co. HS)</t>
  </si>
  <si>
    <t>Jeremy Longo</t>
  </si>
  <si>
    <t>6-3/258</t>
  </si>
  <si>
    <t>Ft. Lauderdale, FL (Cardinal Gibbons HS)</t>
  </si>
  <si>
    <t>Tanner Strickland</t>
  </si>
  <si>
    <t>G</t>
  </si>
  <si>
    <t>6-5/335</t>
  </si>
  <si>
    <t>Nashville, GA (Berrien County HS)</t>
  </si>
  <si>
    <t>Josh Parrish</t>
  </si>
  <si>
    <t>6-4/294</t>
  </si>
  <si>
    <t>Norcross, GA (Wesleyan HS)</t>
  </si>
  <si>
    <t>Mike Gilliard</t>
  </si>
  <si>
    <t>Valdosta, GA (Valdosta HS)</t>
  </si>
  <si>
    <t>Geno Atkins</t>
  </si>
  <si>
    <t>DT</t>
  </si>
  <si>
    <t>6-1/290</t>
  </si>
  <si>
    <t>Pembroke Pines, FL (St. Thomas Aquinas HS)</t>
  </si>
  <si>
    <t>Blair Walsh</t>
  </si>
  <si>
    <t>5-10/189</t>
  </si>
  <si>
    <t>Boca Raton, FL (Cardinal Gibbons HS)</t>
  </si>
  <si>
    <t>Demarcus Dobbs</t>
  </si>
  <si>
    <t>6-2/274</t>
  </si>
  <si>
    <t>Savannah, GA (Calvary Baptist HS)</t>
  </si>
  <si>
    <t>Casey Nickels</t>
  </si>
  <si>
    <t>6-4/277</t>
  </si>
  <si>
    <t>Tignall, GA (Washington-Wilkes HS)</t>
  </si>
  <si>
    <t>Clint Boling</t>
  </si>
  <si>
    <t>T</t>
  </si>
  <si>
    <t>6-5/304</t>
  </si>
  <si>
    <t>Alpharetta, GA (Chattahoochee HS)</t>
  </si>
  <si>
    <t>Ben Jones</t>
  </si>
  <si>
    <t>6-3/298</t>
  </si>
  <si>
    <t>Centerville, AL (Bibb County HS)</t>
  </si>
  <si>
    <t>Chris Davis</t>
  </si>
  <si>
    <t>6-4/295</t>
  </si>
  <si>
    <t>Jefferson, GA (Jefferson HS)</t>
  </si>
  <si>
    <t>Matthew DeGenova</t>
  </si>
  <si>
    <t>6-1/212</t>
  </si>
  <si>
    <t>Kenner, LA (Jesuit HS)</t>
  </si>
  <si>
    <t>Dallas Lee</t>
  </si>
  <si>
    <t>Buford, GA (Buford HS)</t>
  </si>
  <si>
    <t>Jonathan Owens</t>
  </si>
  <si>
    <t>6-4/298</t>
  </si>
  <si>
    <t>Blountsville, AL (Susan Moore HS)</t>
  </si>
  <si>
    <t>Ben Harbin</t>
  </si>
  <si>
    <t>6-3/230</t>
  </si>
  <si>
    <t>Dalton, GA (Dalton HS)</t>
  </si>
  <si>
    <t>Chris Burnette</t>
  </si>
  <si>
    <t>OG</t>
  </si>
  <si>
    <t>6-2/291</t>
  </si>
  <si>
    <t>LaGrange, GA (Troupe County HS)</t>
  </si>
  <si>
    <t>AJ Harmon</t>
  </si>
  <si>
    <t>6-5/310</t>
  </si>
  <si>
    <t>Louisville, GA (Jefferson Co. HS)</t>
  </si>
  <si>
    <t>Cordy Glenn</t>
  </si>
  <si>
    <t>6-5/329</t>
  </si>
  <si>
    <t>Riverdale, GA (Riverdale HS)</t>
  </si>
  <si>
    <t>Vince Vance</t>
  </si>
  <si>
    <t>6-8/325</t>
  </si>
  <si>
    <t>Hinesville, GA (Bradwell Institute)</t>
  </si>
  <si>
    <t>Kiante Tripp</t>
  </si>
  <si>
    <t>6-6/276</t>
  </si>
  <si>
    <t>Atlanta, GA (Westlake HS)</t>
  </si>
  <si>
    <t>Ben Harden</t>
  </si>
  <si>
    <t>6-3/310</t>
  </si>
  <si>
    <t>Perry, GA (Perry HS)</t>
  </si>
  <si>
    <t>Trinton Sturdivant</t>
  </si>
  <si>
    <t>6-5/305</t>
  </si>
  <si>
    <t>Wadesboro, NC (Anson HS)</t>
  </si>
  <si>
    <t>Josh Davis</t>
  </si>
  <si>
    <t>6-6/305</t>
  </si>
  <si>
    <t>Jayess, MS (Tylertown HS)</t>
  </si>
  <si>
    <t>Justin Anderson</t>
  </si>
  <si>
    <t>6-5/328</t>
  </si>
  <si>
    <t>Ocilla, GA (Irwin Co. HS)</t>
  </si>
  <si>
    <t>Zach Renner</t>
  </si>
  <si>
    <t>Monroe, CT (New Canaan HS)</t>
  </si>
  <si>
    <t>Aron White</t>
  </si>
  <si>
    <t>6-4/234</t>
  </si>
  <si>
    <t>Mike Moore</t>
  </si>
  <si>
    <t>6-2/202</t>
  </si>
  <si>
    <t>Fort Lauderdale, FL (American Heritage HS)</t>
  </si>
  <si>
    <t>Cornelius Washington</t>
  </si>
  <si>
    <t>6-4/247</t>
  </si>
  <si>
    <t>Hephzibah, GA (Burke Co. HS)</t>
  </si>
  <si>
    <t>Bryce Ros</t>
  </si>
  <si>
    <t>6-4/231</t>
  </si>
  <si>
    <t>Kennesaw, GA (Kennesaw Mountain HS)</t>
  </si>
  <si>
    <t>Derrick Lott</t>
  </si>
  <si>
    <t>Kennesaw, GA (North Cobb HS)</t>
  </si>
  <si>
    <t>Derek Rich</t>
  </si>
  <si>
    <t>6-2/258</t>
  </si>
  <si>
    <t>Gainesville, GA (North Hall)</t>
  </si>
  <si>
    <t>Reuben Faloughi</t>
  </si>
  <si>
    <t>6-5/234</t>
  </si>
  <si>
    <t>Martinez, GA (Evans HS)</t>
  </si>
  <si>
    <t>Arthur Lynch</t>
  </si>
  <si>
    <t>6-5/254</t>
  </si>
  <si>
    <t>Dartmouth, MA (Dartmouth HS)</t>
  </si>
  <si>
    <t>Bruce Figgins</t>
  </si>
  <si>
    <t>6-4/270</t>
  </si>
  <si>
    <t>Columbus, GA (Shaw HS)</t>
  </si>
  <si>
    <t>Montez Robinson</t>
  </si>
  <si>
    <t>Avon, IN (Avon HS)</t>
  </si>
  <si>
    <t>Kade Weston</t>
  </si>
  <si>
    <t>6-5/316</t>
  </si>
  <si>
    <t>Red Bank, NJ (Red Bank Reg. HS)</t>
  </si>
  <si>
    <t>Jordan Stowe</t>
  </si>
  <si>
    <t>6-4/211</t>
  </si>
  <si>
    <t>Lilburn, GA (Parkview HS)</t>
  </si>
  <si>
    <t>Brandon Wheeling</t>
  </si>
  <si>
    <t>DL</t>
  </si>
  <si>
    <t>TR</t>
  </si>
  <si>
    <t>6-3/288</t>
  </si>
  <si>
    <t>Dallas, GA (Paulding Co. HS)</t>
  </si>
  <si>
    <t>Abry Jones</t>
  </si>
  <si>
    <t>6-3/295</t>
  </si>
  <si>
    <t>Warner Robins, GA (Northside HS)</t>
  </si>
  <si>
    <t>DeAngelo Tyson</t>
  </si>
  <si>
    <t>NT</t>
  </si>
  <si>
    <t>6-2/292</t>
  </si>
  <si>
    <t>Jeff Owens</t>
  </si>
  <si>
    <t>6-3/300</t>
  </si>
  <si>
    <t>Sunrise, FL (Plantation HS)</t>
  </si>
  <si>
    <t>Ty Frix</t>
  </si>
  <si>
    <t>LS</t>
  </si>
  <si>
    <t>6-0/211</t>
  </si>
  <si>
    <t>Brandon Wood</t>
  </si>
  <si>
    <t>6-1/284</t>
  </si>
  <si>
    <t>Buchanan, GA (Haralson Co. HS)</t>
  </si>
  <si>
    <t>Trent Dittmer</t>
  </si>
  <si>
    <t>5-9/178</t>
  </si>
  <si>
    <t>Cartersville, GA (Cartersville HS)</t>
  </si>
  <si>
    <t>Ricardo Crawford</t>
  </si>
  <si>
    <t>6-1/310</t>
  </si>
  <si>
    <t>Fair Bluff, NC (West Columbus HS)</t>
  </si>
  <si>
    <t>Kwame Geathers</t>
  </si>
  <si>
    <t>6-5/326</t>
  </si>
  <si>
    <t>Carver's Bay, S.C., (Carver's Bay)</t>
  </si>
  <si>
    <t>2010 Georgia Bulldog Roster</t>
  </si>
  <si>
    <t>http://uga.rivals.com/croster.asp</t>
  </si>
  <si>
    <t>=Right</t>
  </si>
  <si>
    <t>=Value</t>
  </si>
  <si>
    <t>TEXT - Formats a number and converts it to text</t>
  </si>
  <si>
    <t xml:space="preserve">Susan's commission for the month of March was </t>
  </si>
  <si>
    <t xml:space="preserve">Mark's commission for the month of March was </t>
  </si>
  <si>
    <t xml:space="preserve">Sam's commission for the month of March was </t>
  </si>
  <si>
    <t xml:space="preserve">Fred's commission for the month of March was </t>
  </si>
  <si>
    <t xml:space="preserve">Steve's commission for the month of March was </t>
  </si>
  <si>
    <t>From</t>
  </si>
  <si>
    <t>To</t>
  </si>
  <si>
    <t>Percent</t>
  </si>
  <si>
    <t xml:space="preserve">and up  </t>
  </si>
  <si>
    <t>If Taxable Income =</t>
  </si>
  <si>
    <t>Then the Base Income =</t>
  </si>
  <si>
    <t>Then the Base Tax =</t>
  </si>
  <si>
    <t>Then the Incremental Tax Rate =</t>
  </si>
  <si>
    <t>Total Tax =</t>
  </si>
  <si>
    <t>Expense 1</t>
  </si>
  <si>
    <t>Expense 2</t>
  </si>
  <si>
    <t>Expense 3</t>
  </si>
  <si>
    <t>Expense 4</t>
  </si>
  <si>
    <t>Expense 5</t>
  </si>
  <si>
    <t>Expense 6</t>
  </si>
  <si>
    <t>Expense 7</t>
  </si>
  <si>
    <t>Suntotal</t>
  </si>
  <si>
    <t>Net Income After Taxes</t>
  </si>
  <si>
    <t>HLOOKUP - Looks in the top row of an array and returns the value of the indicated cell</t>
  </si>
  <si>
    <r>
      <t xml:space="preserve">VLOOKUP - </t>
    </r>
    <r>
      <rPr>
        <b/>
        <sz val="16"/>
        <color theme="1"/>
        <rFont val="Calibri"/>
        <family val="2"/>
        <scheme val="minor"/>
      </rPr>
      <t>Looks in the first column of an array and moves across the row to return the value of a cell</t>
    </r>
  </si>
  <si>
    <t>Rank</t>
  </si>
  <si>
    <t>Player</t>
  </si>
  <si>
    <t>Pos</t>
  </si>
  <si>
    <t>Cl</t>
  </si>
  <si>
    <t>Gm</t>
  </si>
  <si>
    <t>Carries</t>
  </si>
  <si>
    <t>Net</t>
  </si>
  <si>
    <t>TDs</t>
  </si>
  <si>
    <t>Avg</t>
  </si>
  <si>
    <t>Ydspgm</t>
  </si>
  <si>
    <t>Ryan Mathews, Fresno St.</t>
  </si>
  <si>
    <t>JR</t>
  </si>
  <si>
    <t>Toby Gerhart, Stanford</t>
  </si>
  <si>
    <t>SR</t>
  </si>
  <si>
    <t>Dion Lewis, Pittsburgh</t>
  </si>
  <si>
    <t>FR</t>
  </si>
  <si>
    <t>Donald Buckram, UTEP</t>
  </si>
  <si>
    <t>Ryan Williams, Virginia Tech</t>
  </si>
  <si>
    <t>Anthony Dixon, Mississippi St.</t>
  </si>
  <si>
    <t>Curtis Steele, Memphis</t>
  </si>
  <si>
    <t>Vai Taua, Nevada</t>
  </si>
  <si>
    <t>LaMichael James, Oregon</t>
  </si>
  <si>
    <t>Joe Webb, UAB</t>
  </si>
  <si>
    <t>Mark Ingram, Alabama</t>
  </si>
  <si>
    <t>SO</t>
  </si>
  <si>
    <t>John Clay, Wisconsin</t>
  </si>
  <si>
    <t>Alfred Morris, Fla. Atlantic</t>
  </si>
  <si>
    <t>Lance Dunbar, North Texas</t>
  </si>
  <si>
    <t>Bernard Pierce, Temple</t>
  </si>
  <si>
    <t>Darius Marshall, Marshall</t>
  </si>
  <si>
    <t>Noel Devine, West Virginia</t>
  </si>
  <si>
    <t>Montel Harris, Boston College</t>
  </si>
  <si>
    <t>Jacquizz Rodgers, Oregon St.</t>
  </si>
  <si>
    <t>Robert Turbin, Utah St.</t>
  </si>
  <si>
    <t>Daniel Thomas, Kansas St.</t>
  </si>
  <si>
    <t>Ben Tate, Auburn</t>
  </si>
  <si>
    <t>Montario Hardesty, Tennessee</t>
  </si>
  <si>
    <t>Jonathan Dwyer, Georgia Tech</t>
  </si>
  <si>
    <t>Alexander Robinson, Iowa St.</t>
  </si>
  <si>
    <t>Dominique Lindsay, East Carolina</t>
  </si>
  <si>
    <t>Brandon West, Western Mich.</t>
  </si>
  <si>
    <t>Daniel Porter, Louisiana Tech</t>
  </si>
  <si>
    <t>Frank Goodin, La.-Monroe</t>
  </si>
  <si>
    <t>Keith Toston, Oklahoma St.</t>
  </si>
  <si>
    <t>Chris Polk, Washington</t>
  </si>
  <si>
    <t>Brynn Harvey, UCF</t>
  </si>
  <si>
    <t>Ricky Dobbs, Navy</t>
  </si>
  <si>
    <t>Jordan Todman, Connecticut</t>
  </si>
  <si>
    <t>Shawnbrey McNeal, SMU</t>
  </si>
  <si>
    <t>Colin Kaepernick, Nevada</t>
  </si>
  <si>
    <t>Harvey Unga, BYU</t>
  </si>
  <si>
    <t>Dexter McCluster, Mississippi</t>
  </si>
  <si>
    <t>Evan Royster, Penn St.</t>
  </si>
  <si>
    <t>Dwight Dasher, Middle Tenn.</t>
  </si>
  <si>
    <t>C.J. Spiller, Clemson</t>
  </si>
  <si>
    <t>Luke Lippincott, Nevada</t>
  </si>
  <si>
    <t>Delone Carter, Syracuse</t>
  </si>
  <si>
    <t>Andre Anderson, Tulane</t>
  </si>
  <si>
    <t>Damion Fletcher, Southern Miss.</t>
  </si>
  <si>
    <t>Joe McKnight, Southern California</t>
  </si>
  <si>
    <t>Andre Dixon, Connecticut</t>
  </si>
  <si>
    <t>DaJuane Collins, Toledo</t>
  </si>
  <si>
    <t>Eddie Wide, Utah</t>
  </si>
  <si>
    <t>Jeremy Avery, Boise St.</t>
  </si>
  <si>
    <t>Roy Helu Jr., Nebraska</t>
  </si>
  <si>
    <t>Chad Spann, Northern Ill.</t>
  </si>
  <si>
    <t>Bobby Rainey, Western Ky.</t>
  </si>
  <si>
    <t>Seth Smith, New Mexico St.</t>
  </si>
  <si>
    <t>Ralph Bolden, Purdue</t>
  </si>
  <si>
    <t>Leonard Mason, Colorado St.</t>
  </si>
  <si>
    <t>Adam Robinson, Iowa</t>
  </si>
  <si>
    <t>Derrick Locke, Kentucky</t>
  </si>
  <si>
    <t>DeMaundray Woolridge, Idaho</t>
  </si>
  <si>
    <t>Vince Murray, Navy</t>
  </si>
  <si>
    <t>Jared Tew, Air Force</t>
  </si>
  <si>
    <t>Joe Martinek, Rutgers</t>
  </si>
  <si>
    <t>Josh Nesbitt, Georgia Tech</t>
  </si>
  <si>
    <t>Shane Vereen, California</t>
  </si>
  <si>
    <t>Rodney Stewart, Colorado</t>
  </si>
  <si>
    <t>MiQuale Lewis, Ball St.</t>
  </si>
  <si>
    <t>D.D. Kyles, Middle Tenn.</t>
  </si>
  <si>
    <t>Christine Michael, Texas A&amp;M</t>
  </si>
  <si>
    <t>Baron Batch, Texas Tech</t>
  </si>
  <si>
    <t>Darius Willis, Indiana</t>
  </si>
  <si>
    <t>Mikel Leshoure, Illinois</t>
  </si>
  <si>
    <t>Asher Clark, Air Force</t>
  </si>
  <si>
    <t>Derrick Washington, Missouri</t>
  </si>
  <si>
    <t>Dimitri Nance, Arizona St.</t>
  </si>
  <si>
    <t>Warren Norman, Vanderbilt</t>
  </si>
  <si>
    <t>Tim Tebow, Florida</t>
  </si>
  <si>
    <t>Toney Baker, North Carolina St.</t>
  </si>
  <si>
    <t>Jermaine Thomas, Florida St.</t>
  </si>
  <si>
    <t>Isaiah Pead, Cincinnati</t>
  </si>
  <si>
    <t>Reggie Arnold, Arkansas St.</t>
  </si>
  <si>
    <t>Daneil Herron, Ohio St.</t>
  </si>
  <si>
    <t>Terrelle Pryor, Ohio St.</t>
  </si>
  <si>
    <t>Caleb King, Georgia</t>
  </si>
  <si>
    <t>B.J. Daniels, South Fla.</t>
  </si>
  <si>
    <t>John Mosure, Colorado St.</t>
  </si>
  <si>
    <t>Trent Steelman, Army</t>
  </si>
  <si>
    <t>DeMarco Murray, Oklahoma</t>
  </si>
  <si>
    <t>Meco Brown, Northern Ill.</t>
  </si>
  <si>
    <t>Cyrus Gray, Texas A&amp;M</t>
  </si>
  <si>
    <t>Joseph Turner, TCU</t>
  </si>
  <si>
    <t>Graig Cooper, Miami (FL)</t>
  </si>
  <si>
    <t>Chris Brown, Oklahoma</t>
  </si>
  <si>
    <t>Dwayne Priest, Eastern Mich.</t>
  </si>
  <si>
    <t>Brandon Saine, Ohio St.</t>
  </si>
  <si>
    <t>Nic Grigsby, Arizona</t>
  </si>
  <si>
    <t>Shaun Draughn, North Carolina</t>
  </si>
  <si>
    <t>Patrick Mealy, Army</t>
  </si>
  <si>
    <t>Brandon Sullivan, San Diego St.</t>
  </si>
  <si>
    <t>Jeremiah Masoli, Oregon</t>
  </si>
  <si>
    <t>Ryan Houston, North Carolina</t>
  </si>
  <si>
    <t>Stat</t>
  </si>
  <si>
    <t>Two Way Look Up</t>
  </si>
  <si>
    <t>Quantity Break Pricing for Stereo Shoes</t>
  </si>
  <si>
    <t>2 to 5</t>
  </si>
  <si>
    <t>6 to 10</t>
  </si>
  <si>
    <t>11 to 15</t>
  </si>
  <si>
    <t>16 to 20</t>
  </si>
  <si>
    <t>21 to 30</t>
  </si>
  <si>
    <t>31 to 50</t>
  </si>
  <si>
    <t>51 to 100</t>
  </si>
  <si>
    <t>100 or more</t>
  </si>
  <si>
    <t>Order Form</t>
  </si>
  <si>
    <t>Mahatma Ghandi</t>
  </si>
  <si>
    <t>1012 Spiffy Road</t>
  </si>
  <si>
    <t>Sri Lanka, India</t>
  </si>
  <si>
    <t>Stereo Shoes</t>
  </si>
  <si>
    <t>Item</t>
  </si>
  <si>
    <t>QTY</t>
  </si>
  <si>
    <t>=LOOKUP(C2,{0,60,63,67,70,73,77,80,83,87,90,93,97},{"F","D-","D","D+","C-","C","C+","B-","B","B+","A-","A","A+"})</t>
  </si>
  <si>
    <t>Number Grade</t>
  </si>
  <si>
    <t>Mark</t>
  </si>
  <si>
    <t>Sam</t>
  </si>
  <si>
    <t>Greg</t>
  </si>
  <si>
    <t>Jesse</t>
  </si>
  <si>
    <t>Stewart</t>
  </si>
  <si>
    <t>Fred</t>
  </si>
  <si>
    <t>martha</t>
  </si>
  <si>
    <t>Betty</t>
  </si>
  <si>
    <t>Carrie</t>
  </si>
  <si>
    <t>Fortnoy</t>
  </si>
  <si>
    <t>Similar to =CHOOSE</t>
  </si>
  <si>
    <t>Lists must be in descending order to work properly</t>
  </si>
  <si>
    <t>MATCH - Looks up values in a reference or array</t>
  </si>
  <si>
    <t>(Like VLOOKUP, But Returns Position Instead of Data)</t>
  </si>
  <si>
    <t xml:space="preserve">    Mickey Mouse     $45,000      344-55-3221    Orlando,    Florida</t>
  </si>
  <si>
    <t>Goofy,     $56,000     222-33-8877      Orlando, Florida</t>
  </si>
  <si>
    <t>TRIM - Removes spaces from text</t>
  </si>
  <si>
    <t>PROPER - Capitalizes the first letter in each word of a text value</t>
  </si>
  <si>
    <t>LOWER - Converts text to lowercase</t>
  </si>
  <si>
    <t>WE THE PEOPLE OF THE UNITED STATES</t>
  </si>
  <si>
    <t>IN ORDER TO FORM A MORE PERFECT UNION</t>
  </si>
  <si>
    <t>ESTABLISH JUSTICE</t>
  </si>
  <si>
    <t>INSURE DOMESTIC TRANQUILITY</t>
  </si>
  <si>
    <t>PROVIDE FOR THE COMMON DEFENSE</t>
  </si>
  <si>
    <t>PROMOTE THE GENERAL WELFARE</t>
  </si>
  <si>
    <t>AND SECURE THE BLESSINGS OF LIBERTY TO OURSELVES AND OUR POSTERITY</t>
  </si>
  <si>
    <t xml:space="preserve">DO ORDAIN AND ESTABLISH THIS CONSTITUTION FOR THE UNITED STATES OF AMERICA. </t>
  </si>
  <si>
    <t>LEFT, LEFTB - Returns the leftmost characters from a text value</t>
  </si>
  <si>
    <t>Inventory Report</t>
  </si>
  <si>
    <t>LaCie 5big Network</t>
  </si>
  <si>
    <t>Eaton 5110 UPS 1000VA</t>
  </si>
  <si>
    <t>HP ProLiant DL360 G5</t>
  </si>
  <si>
    <t>AutoCAD 2010 HP Z200 Bundle</t>
  </si>
  <si>
    <t>Sony HVR-HD1000U Mini DV</t>
  </si>
  <si>
    <t>Flip Video ™ Mino Camcorder</t>
  </si>
  <si>
    <t>Sony CR 2032 - battery - CR2032 - Li</t>
  </si>
  <si>
    <t>Energizer MAX 16-Pack AA Batteries</t>
  </si>
  <si>
    <t>Fellowes Powershred® C-420C</t>
  </si>
  <si>
    <t>HP 640 Fax</t>
  </si>
  <si>
    <t>HP 35s Scientific calculator</t>
  </si>
  <si>
    <t>Kensington MicroSaver Security Lock</t>
  </si>
  <si>
    <t>Warehouse/Part Number</t>
  </si>
  <si>
    <t>Qty On Hand</t>
  </si>
  <si>
    <t>Reorder Point</t>
  </si>
  <si>
    <t>Sales Price</t>
  </si>
  <si>
    <t>HD78578WHSE-1</t>
  </si>
  <si>
    <t>NJ98658WHSE-1</t>
  </si>
  <si>
    <t>BC98576WHSE-1</t>
  </si>
  <si>
    <t>SD07457WHSE-1</t>
  </si>
  <si>
    <t>PO7575WHSE-1</t>
  </si>
  <si>
    <t>TF87357WHSE-1</t>
  </si>
  <si>
    <t>WS90759WHSE-1</t>
  </si>
  <si>
    <t>CF87587WHSE-1</t>
  </si>
  <si>
    <t>TG98759WHSE-1</t>
  </si>
  <si>
    <t>BD07798WHSE-1</t>
  </si>
  <si>
    <t>GH96876WHSE-1</t>
  </si>
  <si>
    <t>XD-0885WHSE-1</t>
  </si>
  <si>
    <t>HD78578WHSE-2</t>
  </si>
  <si>
    <t>NJ98658WHSE-2</t>
  </si>
  <si>
    <t>BC98576WHSE-2</t>
  </si>
  <si>
    <t>SD07457WHSE-2</t>
  </si>
  <si>
    <t>PO7575WHSE-2</t>
  </si>
  <si>
    <t>TF87357WHSE-2</t>
  </si>
  <si>
    <t>WS90759WHSE-2</t>
  </si>
  <si>
    <t>CF87587WHSE-2</t>
  </si>
  <si>
    <t>TG98759WHSE-2</t>
  </si>
  <si>
    <t>BD07798WHSE-2</t>
  </si>
  <si>
    <t>GH96876WHSE-2</t>
  </si>
  <si>
    <t>XD-0885WHSE-2</t>
  </si>
  <si>
    <t>HD78578WHSE-3</t>
  </si>
  <si>
    <t>NJ98658WHSE-3</t>
  </si>
  <si>
    <t>BC98576WHSE-3</t>
  </si>
  <si>
    <t>SD07457WHSE-3</t>
  </si>
  <si>
    <t>PO7575WHSE-3</t>
  </si>
  <si>
    <t>TF87357WHSE-3</t>
  </si>
  <si>
    <t>WS90759WHSE-3</t>
  </si>
  <si>
    <t>CF87587WHSE-3</t>
  </si>
  <si>
    <t>TG98759WHSE-3</t>
  </si>
  <si>
    <t>BD07798WHSE-3</t>
  </si>
  <si>
    <t>GH96876WHSE-3</t>
  </si>
  <si>
    <t>XD-0885WHSE-3</t>
  </si>
  <si>
    <t>HD78578WHSE-4</t>
  </si>
  <si>
    <t>NJ98658WHSE-4</t>
  </si>
  <si>
    <t>BC98576WHSE-4</t>
  </si>
  <si>
    <t>SD07457WHSE-4</t>
  </si>
  <si>
    <t>PO7575WHSE-4</t>
  </si>
  <si>
    <t>TF87357WHSE-4</t>
  </si>
  <si>
    <t>WS90759WHSE-4</t>
  </si>
  <si>
    <t>CF87587WHSE-4</t>
  </si>
  <si>
    <t>TG98759WHSE-4</t>
  </si>
  <si>
    <t>BD07798WHSE-4</t>
  </si>
  <si>
    <t>GH96876WHSE-4</t>
  </si>
  <si>
    <t>XD-0885WHSE-4</t>
  </si>
  <si>
    <t>FIND - Finds one text value within another (case-sensitive)</t>
  </si>
  <si>
    <t>Find</t>
  </si>
  <si>
    <t>REPLACE - Replaces text in a string with alternative text</t>
  </si>
  <si>
    <t>=SUBSTITUTE(B3,"(","")</t>
  </si>
  <si>
    <t>=SUBSTITUTE(C3,")","")</t>
  </si>
  <si>
    <t>(Atlanta)</t>
  </si>
  <si>
    <t>(Jacksonville)</t>
  </si>
  <si>
    <t>Detroit</t>
  </si>
  <si>
    <t>Lansing</t>
  </si>
  <si>
    <t>(Dallas)</t>
  </si>
  <si>
    <t>(Boston)</t>
  </si>
  <si>
    <t>Philadelphia</t>
  </si>
  <si>
    <t>Use SUBSTITUTE when you want to replace specific text in a text string; use REPLACE when you want to replace any text that occurs in a specific location in a text string.</t>
  </si>
  <si>
    <t>SUBSTITUTE - Substitutes new text for old text in a text string</t>
  </si>
  <si>
    <t>Use SUBSTITUTE when you want to replace specific text in a text string; 
Use REPLACE when you want to replace any text that occurs in a specific location in a text string.</t>
  </si>
  <si>
    <t>Original Text</t>
  </si>
  <si>
    <t>Remove Left Parenthesis</t>
  </si>
  <si>
    <t>Remove Right Parenthesis</t>
  </si>
  <si>
    <t>912-265-8716</t>
  </si>
  <si>
    <t>912/264-5910</t>
  </si>
  <si>
    <t>912/638-7973</t>
  </si>
  <si>
    <t>904/268-0851</t>
  </si>
  <si>
    <t>912 369-3354</t>
  </si>
  <si>
    <t>455 668-8923</t>
  </si>
  <si>
    <t>912 369-3336</t>
  </si>
  <si>
    <t>912\638-5009</t>
  </si>
  <si>
    <t>255\445-6778</t>
  </si>
  <si>
    <t>344=654-8990</t>
  </si>
  <si>
    <t>City &amp; State</t>
  </si>
  <si>
    <t>Clean Phone</t>
  </si>
  <si>
    <t>34 Nancy Creek</t>
  </si>
  <si>
    <t>78 Pillar Way</t>
  </si>
  <si>
    <t>Templeton, NB 54443</t>
  </si>
  <si>
    <t>1200 Salem Walk</t>
  </si>
  <si>
    <t>Manor Place, TX 23443</t>
  </si>
  <si>
    <t>MID - Returns a specific number of characters from a text string starting at the position you specify</t>
  </si>
  <si>
    <t>Carver's Bay, SC, (Carver's Bay)</t>
  </si>
  <si>
    <t>CONCATENATE - Joins several text items into one text item</t>
  </si>
  <si>
    <t>The "&amp;" does the same thing</t>
  </si>
  <si>
    <t>Alan</t>
  </si>
  <si>
    <t>Akers</t>
  </si>
  <si>
    <t>Robin</t>
  </si>
  <si>
    <t>Allen</t>
  </si>
  <si>
    <t>Ricky</t>
  </si>
  <si>
    <t>Albright</t>
  </si>
  <si>
    <t>Tamara</t>
  </si>
  <si>
    <t>Andrews</t>
  </si>
  <si>
    <t>Joanna</t>
  </si>
  <si>
    <t>Arbo</t>
  </si>
  <si>
    <t>Donnie</t>
  </si>
  <si>
    <t>Aspinwall</t>
  </si>
  <si>
    <t>Kelly</t>
  </si>
  <si>
    <t>Astle</t>
  </si>
  <si>
    <t>Alphonso</t>
  </si>
  <si>
    <t>Atkinson</t>
  </si>
  <si>
    <t>Alvin</t>
  </si>
  <si>
    <t>Danette</t>
  </si>
  <si>
    <t>Austin</t>
  </si>
  <si>
    <t>Yvonne</t>
  </si>
  <si>
    <t>Baker</t>
  </si>
  <si>
    <t>Williams</t>
  </si>
  <si>
    <t>Susan</t>
  </si>
  <si>
    <t>John</t>
  </si>
  <si>
    <t>Bakley</t>
  </si>
  <si>
    <t>Teresa</t>
  </si>
  <si>
    <t>Baldwin</t>
  </si>
  <si>
    <t>Richard</t>
  </si>
  <si>
    <t>Banks</t>
  </si>
  <si>
    <t>Charles</t>
  </si>
  <si>
    <t>Political Contibutions</t>
  </si>
  <si>
    <t>CLEAN - Removes all nonprintable characters from text</t>
  </si>
  <si>
    <t>UPPER - Converts text to uppercase</t>
  </si>
  <si>
    <t>Milledgeville, GA 66532</t>
  </si>
  <si>
    <t>LEN - Returns the number of characters in a text string</t>
  </si>
  <si>
    <t>Smith, Todd, (770) 543-2344, $35,000, (Manager), Todd@ABC.com, ToddSmith@abc.com</t>
  </si>
  <si>
    <t>Johnson, Gretta, (779) 233-4775, $67,000, (Sr. Manager), Gretta@abc.com, GrettaJ@abc.com</t>
  </si>
  <si>
    <t>Cook, Jim, (900) 232-6363, $55,000, (Support), Jim@hotmail.com, Jim@Jimcook.com</t>
  </si>
  <si>
    <t>Olgesby, Kathy, (212) 444-5766, ($88,000), (Marketing), Kat@abc.com</t>
  </si>
  <si>
    <t>Length of second 
e-mail</t>
  </si>
  <si>
    <t>Chop Off Second E-Mail</t>
  </si>
  <si>
    <t>Extract First
E-Mail</t>
  </si>
  <si>
    <t>Extract 
Second 
E-Mail</t>
  </si>
  <si>
    <t>Powell, Billy Bob, (512) 433-8772, $23,000, (Sales Rep), Billy@hotmail.com, BPowell@abc.com</t>
  </si>
  <si>
    <t>Sneed, Samuel L., (612) 655-1233, $189,000, (Instructor), Sam@abc.com</t>
  </si>
  <si>
    <t>Rogers, Ginger, (800) 555-3224, $1,145,000, (Board Member), Ginger@Fred.com</t>
  </si>
  <si>
    <t>Number of E-Mails</t>
  </si>
  <si>
    <t>Length</t>
  </si>
  <si>
    <t>Use "Substitute" to remove "@":</t>
  </si>
  <si>
    <t>=RIGHT(A15,LEN(A15)-SEARCH("#",SUBSTITUTE(A15," ","#",LEN(A15)-LEN(SUBSTITUTE(A15," ","")))))</t>
  </si>
  <si>
    <t>Here are the Steps</t>
  </si>
  <si>
    <t>See explanations below</t>
  </si>
  <si>
    <t>LEN - Advanced example - Extract the E-Mails for the text</t>
  </si>
  <si>
    <t>First E-Mail</t>
  </si>
  <si>
    <t>Second E-Mail</t>
  </si>
  <si>
    <t>Summary of E-Mails</t>
  </si>
  <si>
    <t>NOW - Returns the serial number of the current date and time</t>
  </si>
  <si>
    <t>Date and Time Stamp:</t>
  </si>
  <si>
    <t>TODAY - Returns the serial number of today's date</t>
  </si>
  <si>
    <t>Today's Date</t>
  </si>
  <si>
    <t>Format however you like</t>
  </si>
  <si>
    <t>Data Functions</t>
  </si>
  <si>
    <t>1/2/08</t>
  </si>
  <si>
    <t>Year =</t>
  </si>
  <si>
    <t>ROUND - Rounds a number to a specified number of digits</t>
  </si>
  <si>
    <t>Northwind Traders</t>
  </si>
  <si>
    <t>Profit and Loss</t>
  </si>
  <si>
    <t>2011 
Budget</t>
  </si>
  <si>
    <t>ROUNDDOWN - Rounds a number down, toward zero</t>
  </si>
  <si>
    <t>Round UP:</t>
  </si>
  <si>
    <t>Round Down:</t>
  </si>
  <si>
    <t>ROUNDUP - Rounds a number up, away from zero</t>
  </si>
  <si>
    <t>Manager</t>
  </si>
  <si>
    <t>Billy</t>
  </si>
  <si>
    <t>Carlton's Rental Properties</t>
  </si>
  <si>
    <t>2008 Analysis</t>
  </si>
  <si>
    <t>Revenue</t>
  </si>
  <si>
    <t>Expenses</t>
  </si>
  <si>
    <t>Profit</t>
  </si>
  <si>
    <t>Vacancy Rate</t>
  </si>
  <si>
    <t>Police Visits</t>
  </si>
  <si>
    <t>Texas</t>
  </si>
  <si>
    <t>Dallas</t>
  </si>
  <si>
    <t>Apartment</t>
  </si>
  <si>
    <t>Triplex</t>
  </si>
  <si>
    <t>Fort Worth</t>
  </si>
  <si>
    <t>Houston</t>
  </si>
  <si>
    <t>Ginger</t>
  </si>
  <si>
    <t>Georgia</t>
  </si>
  <si>
    <t>Atlanta</t>
  </si>
  <si>
    <t>Florida</t>
  </si>
  <si>
    <t>Daytona</t>
  </si>
  <si>
    <t>Macon</t>
  </si>
  <si>
    <t>Savannah</t>
  </si>
  <si>
    <t>Tampa</t>
  </si>
  <si>
    <t>Jacob</t>
  </si>
  <si>
    <t>Townhome</t>
  </si>
  <si>
    <t>Duplex</t>
  </si>
  <si>
    <t>Kathy</t>
  </si>
  <si>
    <t>Steve</t>
  </si>
  <si>
    <t>MAX - Returns the maximum value in a list of arguments</t>
  </si>
  <si>
    <t>2010 Analysis</t>
  </si>
  <si>
    <t xml:space="preserve">Maximum Values = </t>
  </si>
  <si>
    <t>Bill</t>
  </si>
  <si>
    <t xml:space="preserve">Minimum Values = </t>
  </si>
  <si>
    <t>Median Values</t>
  </si>
  <si>
    <t>MIN - Returns the minimum value in a list of arguments</t>
  </si>
  <si>
    <t>MODE - Returns the most common value in a data set</t>
  </si>
  <si>
    <t>Mode Values</t>
  </si>
  <si>
    <r>
      <t xml:space="preserve">MEDIAN - Returns the median of the given numbers </t>
    </r>
    <r>
      <rPr>
        <b/>
        <sz val="14"/>
        <rFont val="Calibri"/>
        <family val="2"/>
      </rPr>
      <t>(Seperates higher half from lower half)</t>
    </r>
  </si>
  <si>
    <t>PERCENTILE - Returns the k-th percentile of values in a range</t>
  </si>
  <si>
    <t>10th Percentile</t>
  </si>
  <si>
    <t>20th Percentile</t>
  </si>
  <si>
    <t>30th Percentile</t>
  </si>
  <si>
    <t>40th Percentile</t>
  </si>
  <si>
    <t>50th Percentile</t>
  </si>
  <si>
    <t>60th Percentile</t>
  </si>
  <si>
    <t>70th Percentile</t>
  </si>
  <si>
    <t>80th Percentile</t>
  </si>
  <si>
    <t>90th Percentile</t>
  </si>
  <si>
    <t>100th Percentile</t>
  </si>
  <si>
    <t>10% made higher than this grade</t>
  </si>
  <si>
    <t>20% made higher than this grade</t>
  </si>
  <si>
    <t>30% made higher than this grade</t>
  </si>
  <si>
    <t>40% made higher than this grade</t>
  </si>
  <si>
    <t>50% made higher than this grade</t>
  </si>
  <si>
    <t>60% made higher than this grade</t>
  </si>
  <si>
    <t>70% made higher than this grade</t>
  </si>
  <si>
    <t>80% made higher than this grade</t>
  </si>
  <si>
    <t>90% made higher than this grade</t>
  </si>
  <si>
    <t>Bart</t>
  </si>
  <si>
    <t>Gary</t>
  </si>
  <si>
    <t>Roy</t>
  </si>
  <si>
    <t>Miriam</t>
  </si>
  <si>
    <t>Tammy</t>
  </si>
  <si>
    <t>Martha</t>
  </si>
  <si>
    <t>Shelby</t>
  </si>
  <si>
    <t>Charlene</t>
  </si>
  <si>
    <t>Whit</t>
  </si>
  <si>
    <t>% Rank</t>
  </si>
  <si>
    <t>PMT - Returns the periodic payment for an annuity</t>
  </si>
  <si>
    <t>Number of Periods</t>
  </si>
  <si>
    <t>Payment Amount</t>
  </si>
  <si>
    <t>Years</t>
  </si>
  <si>
    <t>Per Year</t>
  </si>
  <si>
    <t>Beg Bal</t>
  </si>
  <si>
    <t>Payment</t>
  </si>
  <si>
    <t>Interest</t>
  </si>
  <si>
    <t>Principle</t>
  </si>
  <si>
    <t>End Bal</t>
  </si>
  <si>
    <t>Payments</t>
  </si>
  <si>
    <t>NPV Amount</t>
  </si>
  <si>
    <r>
      <t xml:space="preserve">DSUM - </t>
    </r>
    <r>
      <rPr>
        <b/>
        <sz val="14"/>
        <rFont val="Arial"/>
        <family val="2"/>
      </rPr>
      <t>Adds the numbers in the field column of records in the database that match the criteria</t>
    </r>
  </si>
  <si>
    <t>DCOUNT - Counts the cells that contain numbers in a database</t>
  </si>
  <si>
    <t>&gt;1000000</t>
  </si>
  <si>
    <t>Count</t>
  </si>
  <si>
    <t>&gt;100000</t>
  </si>
  <si>
    <t>DCOUNTA - Counts nonblank cells in a database</t>
  </si>
  <si>
    <t>AND - Returns TRUE if all of its arguments are TRUE</t>
  </si>
  <si>
    <t>OR - Returns TRUE if any argument is TRUE</t>
  </si>
  <si>
    <t>CHOOSE - Chooses a value from a list of values</t>
  </si>
  <si>
    <t>Weekday Number</t>
  </si>
  <si>
    <t>Weekday Name</t>
  </si>
  <si>
    <t>TIME - Returns the serial number of a particular time</t>
  </si>
  <si>
    <t>Hours</t>
  </si>
  <si>
    <t>Minutes</t>
  </si>
  <si>
    <t>Seconds</t>
  </si>
  <si>
    <t>Race Participant</t>
  </si>
  <si>
    <t>Mary Karen</t>
  </si>
  <si>
    <t>Judy</t>
  </si>
  <si>
    <t>Francis</t>
  </si>
  <si>
    <t>Tommy</t>
  </si>
  <si>
    <t>Official Start Time</t>
  </si>
  <si>
    <t>Finish Time</t>
  </si>
  <si>
    <t>Beth</t>
  </si>
  <si>
    <t>Ruth</t>
  </si>
  <si>
    <t>Mike</t>
  </si>
  <si>
    <t>Janice</t>
  </si>
  <si>
    <t>Phillip</t>
  </si>
  <si>
    <t>Pepe</t>
  </si>
  <si>
    <t>Keith</t>
  </si>
  <si>
    <t>Manny</t>
  </si>
  <si>
    <t>Florence</t>
  </si>
  <si>
    <t>Sally</t>
  </si>
  <si>
    <t>Heat 1</t>
  </si>
  <si>
    <t>Heat 2</t>
  </si>
  <si>
    <t>Heat 3</t>
  </si>
  <si>
    <t>FV - Returns the future value of an investment</t>
  </si>
  <si>
    <t>Future Value of Payment Stream</t>
  </si>
  <si>
    <t>Number of periods</t>
  </si>
  <si>
    <t>IRR - Returns the internal rate of return for a series of cash flows</t>
  </si>
  <si>
    <t>Initial cost of a business</t>
  </si>
  <si>
    <t>Net income for the first year</t>
  </si>
  <si>
    <t>Net income for the second year</t>
  </si>
  <si>
    <t>Net income for the third year</t>
  </si>
  <si>
    <t>Net income for the fourth year</t>
  </si>
  <si>
    <t>Net income for the fifth year</t>
  </si>
  <si>
    <t>To calculate the internal rate of return after two years, you need to include a guess</t>
  </si>
  <si>
    <t>Net income for the sixth year</t>
  </si>
  <si>
    <t>IRR %</t>
  </si>
  <si>
    <t>Investment
/Return</t>
  </si>
  <si>
    <t>n/a</t>
  </si>
  <si>
    <t>Comment:</t>
  </si>
  <si>
    <t>Settlement date</t>
  </si>
  <si>
    <t>Maturity date</t>
  </si>
  <si>
    <t>Percent coupon</t>
  </si>
  <si>
    <t>Redemption value</t>
  </si>
  <si>
    <t>If there is more than one coupon period until redemption, YIELD is calculated through a hundred iterations. The resolution uses the Newton method, based on the formula used for the function PRICE. The yield is changed until the estimated price given the yield is close to price.</t>
  </si>
  <si>
    <t xml:space="preserve">Frequency is semiannual </t>
  </si>
  <si>
    <t>30/360 basis</t>
  </si>
  <si>
    <t>Hello</t>
  </si>
  <si>
    <t>"address"</t>
  </si>
  <si>
    <t>"col"</t>
  </si>
  <si>
    <t>"contents"</t>
  </si>
  <si>
    <t>"filename"</t>
  </si>
  <si>
    <t>"format"</t>
  </si>
  <si>
    <t>"parentheses"</t>
  </si>
  <si>
    <t>"prefix"</t>
  </si>
  <si>
    <t>"protect"</t>
  </si>
  <si>
    <t>"row"</t>
  </si>
  <si>
    <t>"type"</t>
  </si>
  <si>
    <t>"width"</t>
  </si>
  <si>
    <t>CELL - Returns information about the formatting, location, or contents of a cell</t>
  </si>
  <si>
    <t>ERROR.TYPE - Returns a number corresponding to an error type</t>
  </si>
  <si>
    <t>Salvage</t>
  </si>
  <si>
    <t>Life</t>
  </si>
  <si>
    <t>Depreciation per year =</t>
  </si>
  <si>
    <t>Period</t>
  </si>
  <si>
    <t>If error_val is</t>
  </si>
  <si>
    <t>ERROR.TYPE returns</t>
  </si>
  <si>
    <t>Anything else</t>
  </si>
  <si>
    <t>"directory"</t>
  </si>
  <si>
    <t>Path of the current directory or folder.</t>
  </si>
  <si>
    <t>"numfile"</t>
  </si>
  <si>
    <t>Number of active worksheets in the open workbooks.</t>
  </si>
  <si>
    <t>"origin"</t>
  </si>
  <si>
    <t>Returns the absolute cell reference of the top and leftmost cell visible in the window, based on the current scrolling position, as text prepended with "$A:". This value is intended for for Lotus 1-2-3 release 3.x compatibility. The actual value returned depends on the current reference style setting. Using D9 as an example, the return value would be:</t>
  </si>
  <si>
    <t>"osversion"</t>
  </si>
  <si>
    <t>Current operating system version, as text.</t>
  </si>
  <si>
    <t>"recalc"</t>
  </si>
  <si>
    <t>Current recalculation mode; returns "Automatic" or "Manual".</t>
  </si>
  <si>
    <t>"release"</t>
  </si>
  <si>
    <t>Version of Microsoft Excel, as text.</t>
  </si>
  <si>
    <t>"system"</t>
  </si>
  <si>
    <t>Name of the operating environment: (PC DOS or MAC)</t>
  </si>
  <si>
    <t>INFO - Returns information about the current operating environment</t>
  </si>
  <si>
    <t>ISBLANK - Returns TRUE if the value is blank</t>
  </si>
  <si>
    <t>You could use an If Statement like this one:</t>
  </si>
  <si>
    <t>GETPIVOTDATA - Returns data stored in a PivotTable</t>
  </si>
  <si>
    <t>Staff</t>
  </si>
  <si>
    <t>Month</t>
  </si>
  <si>
    <t>Work</t>
  </si>
  <si>
    <t>Partner</t>
  </si>
  <si>
    <t>Client</t>
  </si>
  <si>
    <t>Billings</t>
  </si>
  <si>
    <t>Under/Over</t>
  </si>
  <si>
    <t>Abby</t>
  </si>
  <si>
    <t>January</t>
  </si>
  <si>
    <t>Coleman</t>
  </si>
  <si>
    <t>Lisa Sullivan</t>
  </si>
  <si>
    <t>Individual</t>
  </si>
  <si>
    <t>March</t>
  </si>
  <si>
    <t>Sam's Services</t>
  </si>
  <si>
    <t>Corporate</t>
  </si>
  <si>
    <t>Brenda</t>
  </si>
  <si>
    <t>April</t>
  </si>
  <si>
    <t>Financial Planning</t>
  </si>
  <si>
    <t>Smith</t>
  </si>
  <si>
    <t>Betty Harrington</t>
  </si>
  <si>
    <t>Jennifer</t>
  </si>
  <si>
    <t>Tony Davis</t>
  </si>
  <si>
    <t>Jesseca</t>
  </si>
  <si>
    <t>Course Concrete</t>
  </si>
  <si>
    <t>Mindy Simmon</t>
  </si>
  <si>
    <t>Molly Francis</t>
  </si>
  <si>
    <t>Robert Kennedy</t>
  </si>
  <si>
    <t>Tommy Pruitt</t>
  </si>
  <si>
    <t>Camera Shot</t>
  </si>
  <si>
    <t>Kathleen</t>
  </si>
  <si>
    <t>February</t>
  </si>
  <si>
    <t>Fidiciary</t>
  </si>
  <si>
    <t>Martin</t>
  </si>
  <si>
    <t>Boris Tellman</t>
  </si>
  <si>
    <t>Charlie Sullivan</t>
  </si>
  <si>
    <t>Door to Door, Inc.</t>
  </si>
  <si>
    <t>Doug Thomas</t>
  </si>
  <si>
    <t>Granite Right</t>
  </si>
  <si>
    <t>Joey Rayhoney</t>
  </si>
  <si>
    <t>Mars, Inc.</t>
  </si>
  <si>
    <t>Plasma Medical</t>
  </si>
  <si>
    <t>nancy</t>
  </si>
  <si>
    <t>Phil</t>
  </si>
  <si>
    <t>Property Taxes</t>
  </si>
  <si>
    <t>Clothes Barn</t>
  </si>
  <si>
    <t>Johnson</t>
  </si>
  <si>
    <t>Pam Duncan</t>
  </si>
  <si>
    <t>Peter Hanson</t>
  </si>
  <si>
    <t>Simpson</t>
  </si>
  <si>
    <t>Catcher's Creamery</t>
  </si>
  <si>
    <t>Fancy Daze</t>
  </si>
  <si>
    <t>Beverly Crusher</t>
  </si>
  <si>
    <t>Books O'Toole</t>
  </si>
  <si>
    <t>Cascade, Inc.</t>
  </si>
  <si>
    <t>David Pollack</t>
  </si>
  <si>
    <t>Superior Pans</t>
  </si>
  <si>
    <t>Kevin</t>
  </si>
  <si>
    <t>Bessy Boats</t>
  </si>
  <si>
    <t>Debbie Mavormat</t>
  </si>
  <si>
    <t>Harold Mason, Inc.</t>
  </si>
  <si>
    <t>Janet Miller</t>
  </si>
  <si>
    <t>Biss Foods</t>
  </si>
  <si>
    <t>Lars Tate</t>
  </si>
  <si>
    <t>The News Place</t>
  </si>
  <si>
    <t>Tulip Bowls, Ltd</t>
  </si>
  <si>
    <t>Mike Thomas</t>
  </si>
  <si>
    <t>Granola Bob</t>
  </si>
  <si>
    <t>Gay Gray</t>
  </si>
  <si>
    <t>Hayes Automotive</t>
  </si>
  <si>
    <t>Kim's Couches</t>
  </si>
  <si>
    <t>Terry Parker</t>
  </si>
  <si>
    <t>Nancy Young</t>
  </si>
  <si>
    <t>Scott Slade</t>
  </si>
  <si>
    <t>Cindy Schrieber</t>
  </si>
  <si>
    <t>Corneilia Ham</t>
  </si>
  <si>
    <t>David Greene</t>
  </si>
  <si>
    <t>Hanson Fish Sales</t>
  </si>
  <si>
    <t>Willie McClendon</t>
  </si>
  <si>
    <t>Kathy Hankins</t>
  </si>
  <si>
    <t>Sum of Billings</t>
  </si>
  <si>
    <t>Row Labels</t>
  </si>
  <si>
    <t>Column Labels</t>
  </si>
  <si>
    <t>Jessica</t>
  </si>
  <si>
    <t>Jessica's Billings as of March</t>
  </si>
  <si>
    <t>Martin's Billings as of April</t>
  </si>
  <si>
    <r>
      <t xml:space="preserve">66. HYPERLINK - </t>
    </r>
    <r>
      <rPr>
        <b/>
        <sz val="12"/>
        <color theme="1"/>
        <rFont val="Calibri"/>
        <family val="2"/>
        <scheme val="minor"/>
      </rPr>
      <t>Creates a shortcut or jump that opens a document stored on a network server, an intranet, or the Internet</t>
    </r>
  </si>
  <si>
    <t>http://www.cdw.com</t>
  </si>
  <si>
    <t>Press F2 to Edit</t>
  </si>
  <si>
    <t>CTRL+SHIFT+ENTER</t>
  </si>
  <si>
    <t>Highlight Yellow Range</t>
  </si>
  <si>
    <t>TRANSPOSE - Returns the transpose of an array</t>
  </si>
  <si>
    <t>ABS - Returns the absolute value of a number</t>
  </si>
  <si>
    <t>Difference</t>
  </si>
  <si>
    <t>% Difference</t>
  </si>
  <si>
    <t>Taxes</t>
  </si>
  <si>
    <t>Total Taxes</t>
  </si>
  <si>
    <t>RAND - Returns a random number between 0 and 1</t>
  </si>
  <si>
    <t>RANDBETWEEN - Returns a random number between the numbers you specify</t>
  </si>
  <si>
    <t>Starting Invoice Number</t>
  </si>
  <si>
    <t>Ending Invoice Number</t>
  </si>
  <si>
    <t>Polpulation Size</t>
  </si>
  <si>
    <t>Sample Size</t>
  </si>
  <si>
    <t>Recommended sample sizes for two different precision levels</t>
  </si>
  <si>
    <t xml:space="preserve">Source: Isaac and Michael, 1981; Smith, MF, 1983 </t>
  </si>
  <si>
    <t>Population size</t>
  </si>
  <si>
    <t>http://www.uwex.edu/ces/tobaccoeval/resources/surveychart.html</t>
  </si>
  <si>
    <t>REPT - Repeats text a given number of times</t>
  </si>
  <si>
    <t>years</t>
  </si>
  <si>
    <t>First Year</t>
  </si>
  <si>
    <t>J. Carlton Collins, CPA - Copyright, January 2007, carlton@asaresearch.com</t>
  </si>
  <si>
    <t>Carlton's Top 75 Excel Functions for CPAs</t>
  </si>
  <si>
    <t>1.      IF - Specifies a logical test to perform</t>
  </si>
  <si>
    <t>2.      SUM - Adds its arguments</t>
  </si>
  <si>
    <t>3.      SUBTOTAL - Returns a subtotal in a list or database</t>
  </si>
  <si>
    <t>4.      SUMIF - Adds the cells specified by a given criteria</t>
  </si>
  <si>
    <t>5.      COUNT - Counts how many numbers are in the list of arguments</t>
  </si>
  <si>
    <t>6.      COUNTA - Counts how many values are in the list of arguments</t>
  </si>
  <si>
    <t>7.      AVERAGE - Returns the average of a range of numbers</t>
  </si>
  <si>
    <t>8.      COUNTBLANK - Counts the number of blank cells within a range</t>
  </si>
  <si>
    <t>9.      COUNTIF - Counts the number of nonblank cells within a range that meet the given criteria</t>
  </si>
  <si>
    <t>10.  VALUE - Converts text to a number</t>
  </si>
  <si>
    <t>11.  TEXT - Formats a number and converts it to text</t>
  </si>
  <si>
    <t>12.  VLOOKUP - Looks in the first column of an array and moves across the row to return the value of a cell</t>
  </si>
  <si>
    <t>13.  HLOOKUP - Looks in the top row of an array and returns the value of the indicated cell</t>
  </si>
  <si>
    <t>14.  TWO WAY LOOKUP – Using both VLOOKUP and HLOOKUP together</t>
  </si>
  <si>
    <t>15.  LOOKUP - Looks up values in a vector or array</t>
  </si>
  <si>
    <t>16.  MATCH - Looks up values in a reference or array</t>
  </si>
  <si>
    <t>17.  TRIM - Removes spaces from text</t>
  </si>
  <si>
    <t>18.  PROPER - Capitalizes the first letter in each word of a text value</t>
  </si>
  <si>
    <t>19.  LOWER - Converts text to lowercase</t>
  </si>
  <si>
    <t>20.  UPPER - Converts text to uppercase</t>
  </si>
  <si>
    <t>21.  LEFT - Returns the leftmost characters from a text value</t>
  </si>
  <si>
    <t>22.  RIGHT - Returns the rightmost characters from a text value</t>
  </si>
  <si>
    <t>23.  MID - Returns a specific number of characters from a text string starting at the position you specify</t>
  </si>
  <si>
    <t>24.  FIND - Finds one text value within another (case-sensitive)</t>
  </si>
  <si>
    <t>25.  SUBSTITUTE - Substitutes new text for old text in a text string</t>
  </si>
  <si>
    <t>26.  LEN - Returns the number of characters in a text string</t>
  </si>
  <si>
    <t>27.  REPLACE - Replaces text in a string with alternative text</t>
  </si>
  <si>
    <t>28.  CONCATENATE - Joins several text items into one text item</t>
  </si>
  <si>
    <t>29.  CLEAN - Removes all nonprintable characters from text</t>
  </si>
  <si>
    <t>30.  NOW - Returns the serial number of the current date and time</t>
  </si>
  <si>
    <t>31.  TODAY - Returns the serial number of today's date</t>
  </si>
  <si>
    <t>32.  DATE - Returns the serial number of a particular date</t>
  </si>
  <si>
    <t>33.  MONTH - Converts a serial number to a month</t>
  </si>
  <si>
    <t>34.  DAY - Converts a serial number to a day of the month</t>
  </si>
  <si>
    <t>35.  YEAR - Converts a serial number to a year</t>
  </si>
  <si>
    <t>36.  WEEKDAY - Converts a serial number to a day of the week</t>
  </si>
  <si>
    <t>37.  ROUND - Rounds a number to a specified number of digits</t>
  </si>
  <si>
    <t>38.  ROUNDDOWN - Rounds a number down, toward zero</t>
  </si>
  <si>
    <t>39.  ROUNDUP - Rounds a number up, away from zero</t>
  </si>
  <si>
    <t>40.  MAX - Returns the maximum value in a list of arguments</t>
  </si>
  <si>
    <t>41.  DMAX - Returns the maximum value from a table array based on a list of arguments</t>
  </si>
  <si>
    <t>42.  MIN - Returns the minimum value in a list of arguments</t>
  </si>
  <si>
    <t>43.  DMIN - Returns the minimum value from a table array based on a list of arguments</t>
  </si>
  <si>
    <t>44.  MEDIAN - Returns the median of the given numbers</t>
  </si>
  <si>
    <t>45.  MODE - Returns the most common value in a data set</t>
  </si>
  <si>
    <t>46.  PERCENTILE - Returns the k-th percentile of values in a range</t>
  </si>
  <si>
    <t>47.  PERCENTRANK - Returns the percentage rank of a value in a data set</t>
  </si>
  <si>
    <t>48.  PMT - Returns the periodic payment for an annuity</t>
  </si>
  <si>
    <t>49.  NPV - Returns the net present value of an investment based on a series of periodic cash flows and a discount rate</t>
  </si>
  <si>
    <t>50.  DSUM - Adds the numbers in the field column of records in the database that match the criteria</t>
  </si>
  <si>
    <t>51.  DCOUNT - Counts the cells that contain numbers in a database</t>
  </si>
  <si>
    <t>52.  DCOUNTA - Counts nonblank cells in a database</t>
  </si>
  <si>
    <t>53.  AND - Returns TRUE if all of its arguments are TRUE</t>
  </si>
  <si>
    <t>54.  OR - Returns TRUE if any argument is TRUE</t>
  </si>
  <si>
    <t>55.  CHOOSE - Chooses a value from a list of values</t>
  </si>
  <si>
    <t>56.  TIME - Returns the serial number of a particular time</t>
  </si>
  <si>
    <t>57.  FV - Returns the future value of an investment</t>
  </si>
  <si>
    <t>58.  IRR - Returns the internal rate of return for a series of cash flows</t>
  </si>
  <si>
    <t>59.  YIELD - Returns the yield on a security that pays periodic interest</t>
  </si>
  <si>
    <t>60.  CELL - Returns information about the formatting, location, or contents of a cell</t>
  </si>
  <si>
    <t>61.  INFO - Returns information about the current operating environment</t>
  </si>
  <si>
    <t>62.  ERROR.TYPE - Returns a number corresponding to an error type</t>
  </si>
  <si>
    <t>63.  ISBLANK - Returns TRUE if the value is blank</t>
  </si>
  <si>
    <t>64.  ISNA - Returns TRUE if the value is the #N/A error value</t>
  </si>
  <si>
    <t>65.  GETPIVOTDATA - Returns data stored in a PivotTable</t>
  </si>
  <si>
    <t>66.  HYPERLINK - Creates a shortcut or jump that opens a document stored on a network server, an intranet, or the Internet</t>
  </si>
  <si>
    <t>67.  TRANSPOSE - Returns the transpose of an array</t>
  </si>
  <si>
    <t>68.  ABS - Returns the absolute value of a number</t>
  </si>
  <si>
    <t>69.  RAND - Returns a random number between 0 and 1</t>
  </si>
  <si>
    <t>70.  RANDBETWEEN - Returns a random number between the numbers you specify</t>
  </si>
  <si>
    <t>71.  REPT - Repeats text a given number of times</t>
  </si>
  <si>
    <t>72.  SLN - Returns the straight-line depreciation of an asset for one period</t>
  </si>
  <si>
    <t>73.  SYD - Returns the sum-of-years' digits depreciation of an asset for a specified period</t>
  </si>
  <si>
    <t>74.  DDB - Returns the double declining balance depreciation of an asset for a specified period</t>
  </si>
  <si>
    <t>75.  DGET - Extracts from a database a single record that matches the specified criteria</t>
  </si>
</sst>
</file>

<file path=xl/styles.xml><?xml version="1.0" encoding="utf-8"?>
<styleSheet xmlns="http://schemas.openxmlformats.org/spreadsheetml/2006/main">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h]:mm;@"/>
    <numFmt numFmtId="166" formatCode="&quot;$&quot;#,##0.00"/>
    <numFmt numFmtId="167" formatCode="0.0%"/>
    <numFmt numFmtId="168" formatCode="_(* #,##0.0_);_(* \(#,##0.0\);_(* &quot;-&quot;??_);_(@_)"/>
    <numFmt numFmtId="169" formatCode="[$-F400]h:mm:ss\ AM/PM"/>
  </numFmts>
  <fonts count="104">
    <font>
      <sz val="11"/>
      <color theme="1"/>
      <name val="Calibri"/>
      <family val="2"/>
      <scheme val="minor"/>
    </font>
    <font>
      <sz val="12"/>
      <color theme="1"/>
      <name val="Calibri"/>
      <family val="2"/>
      <scheme val="minor"/>
    </font>
    <font>
      <sz val="11"/>
      <color indexed="8"/>
      <name val="Calibri"/>
      <family val="2"/>
    </font>
    <font>
      <sz val="11"/>
      <color indexed="8"/>
      <name val="Calibri"/>
      <family val="2"/>
    </font>
    <font>
      <b/>
      <sz val="15"/>
      <color indexed="56"/>
      <name val="Calibri"/>
      <family val="2"/>
    </font>
    <font>
      <sz val="11"/>
      <name val="Calibri"/>
      <family val="2"/>
    </font>
    <font>
      <b/>
      <sz val="11"/>
      <color indexed="8"/>
      <name val="Calibri"/>
      <family val="2"/>
    </font>
    <font>
      <b/>
      <i/>
      <sz val="18"/>
      <color indexed="56"/>
      <name val="Cambria"/>
      <family val="1"/>
    </font>
    <font>
      <b/>
      <i/>
      <vertAlign val="subscript"/>
      <sz val="18"/>
      <color indexed="56"/>
      <name val="Cambria"/>
      <family val="1"/>
    </font>
    <font>
      <u/>
      <sz val="11"/>
      <color indexed="8"/>
      <name val="Calibri"/>
      <family val="2"/>
    </font>
    <font>
      <b/>
      <i/>
      <sz val="15"/>
      <color indexed="56"/>
      <name val="Calibri"/>
      <family val="2"/>
    </font>
    <font>
      <sz val="11"/>
      <name val="Calibri"/>
      <family val="2"/>
    </font>
    <font>
      <b/>
      <sz val="9"/>
      <color indexed="81"/>
      <name val="Tahoma"/>
      <family val="2"/>
    </font>
    <font>
      <sz val="9"/>
      <color indexed="81"/>
      <name val="Tahoma"/>
      <family val="2"/>
    </font>
    <font>
      <sz val="8"/>
      <color indexed="8"/>
      <name val="Calibri"/>
      <family val="2"/>
    </font>
    <font>
      <sz val="11"/>
      <color theme="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8"/>
      <color theme="3"/>
      <name val="Cambria"/>
      <family val="2"/>
      <scheme val="major"/>
    </font>
    <font>
      <b/>
      <sz val="11"/>
      <color theme="1"/>
      <name val="Calibri"/>
      <family val="2"/>
      <scheme val="minor"/>
    </font>
    <font>
      <sz val="10"/>
      <color theme="1"/>
      <name val="Calibri"/>
      <family val="2"/>
      <scheme val="minor"/>
    </font>
    <font>
      <b/>
      <sz val="16"/>
      <color theme="1"/>
      <name val="Calibri"/>
      <family val="2"/>
      <scheme val="minor"/>
    </font>
    <font>
      <b/>
      <sz val="18"/>
      <color theme="1"/>
      <name val="Calibri"/>
      <family val="2"/>
      <scheme val="minor"/>
    </font>
    <font>
      <u/>
      <sz val="11"/>
      <color theme="10"/>
      <name val="Calibri"/>
      <family val="2"/>
    </font>
    <font>
      <b/>
      <sz val="12"/>
      <color theme="1"/>
      <name val="Calibri"/>
      <family val="2"/>
      <scheme val="minor"/>
    </font>
    <font>
      <b/>
      <sz val="15"/>
      <name val="Calibri"/>
      <family val="2"/>
      <scheme val="minor"/>
    </font>
    <font>
      <sz val="11"/>
      <name val="Calibri"/>
      <family val="2"/>
      <scheme val="minor"/>
    </font>
    <font>
      <b/>
      <sz val="11"/>
      <name val="Calibri"/>
      <family val="2"/>
      <scheme val="minor"/>
    </font>
    <font>
      <b/>
      <sz val="12"/>
      <color theme="0"/>
      <name val="Calibri"/>
      <family val="2"/>
      <scheme val="minor"/>
    </font>
    <font>
      <sz val="12"/>
      <color theme="0"/>
      <name val="Calibri"/>
      <family val="2"/>
      <scheme val="minor"/>
    </font>
    <font>
      <b/>
      <sz val="14"/>
      <color theme="1"/>
      <name val="Calibri"/>
      <family val="2"/>
      <scheme val="minor"/>
    </font>
    <font>
      <b/>
      <u/>
      <sz val="11"/>
      <color theme="1"/>
      <name val="Calibri"/>
      <family val="2"/>
      <scheme val="minor"/>
    </font>
    <font>
      <b/>
      <sz val="24"/>
      <name val="Arial"/>
      <family val="2"/>
    </font>
    <font>
      <b/>
      <sz val="10"/>
      <name val="Arial"/>
      <family val="2"/>
    </font>
    <font>
      <b/>
      <sz val="12"/>
      <name val="Arial"/>
      <family val="2"/>
    </font>
    <font>
      <sz val="12"/>
      <name val="Arial"/>
      <family val="2"/>
    </font>
    <font>
      <sz val="10"/>
      <name val="Arial"/>
      <family val="2"/>
    </font>
    <font>
      <b/>
      <sz val="8.25"/>
      <color indexed="8"/>
      <name val="Arial"/>
      <family val="2"/>
    </font>
    <font>
      <b/>
      <sz val="12"/>
      <color indexed="8"/>
      <name val="Arial"/>
      <family val="2"/>
    </font>
    <font>
      <sz val="8.25"/>
      <color indexed="8"/>
      <name val="Arial"/>
      <family val="2"/>
    </font>
    <font>
      <b/>
      <sz val="20"/>
      <name val="Arial"/>
      <family val="2"/>
    </font>
    <font>
      <b/>
      <sz val="20"/>
      <name val="Calibri"/>
      <family val="2"/>
    </font>
    <font>
      <b/>
      <sz val="24"/>
      <name val="Calibri"/>
      <family val="2"/>
    </font>
    <font>
      <b/>
      <sz val="12"/>
      <name val="Calibri"/>
      <family val="2"/>
    </font>
    <font>
      <sz val="12"/>
      <name val="Calibri"/>
      <family val="2"/>
    </font>
    <font>
      <b/>
      <sz val="12"/>
      <color indexed="8"/>
      <name val="Calibri"/>
      <family val="2"/>
    </font>
    <font>
      <b/>
      <u val="singleAccounting"/>
      <sz val="12"/>
      <color indexed="8"/>
      <name val="Calibri"/>
      <family val="2"/>
    </font>
    <font>
      <b/>
      <u val="doubleAccounting"/>
      <sz val="12"/>
      <color indexed="8"/>
      <name val="Calibri"/>
      <family val="2"/>
    </font>
    <font>
      <sz val="11"/>
      <color theme="1"/>
      <name val="Calibri"/>
      <family val="2"/>
    </font>
    <font>
      <sz val="10"/>
      <name val="Calibri"/>
      <family val="2"/>
    </font>
    <font>
      <sz val="12"/>
      <color theme="1"/>
      <name val="Calibri"/>
      <family val="2"/>
    </font>
    <font>
      <sz val="12"/>
      <color theme="0"/>
      <name val="Calibri"/>
      <family val="2"/>
    </font>
    <font>
      <b/>
      <sz val="12"/>
      <color theme="0"/>
      <name val="Calibri"/>
      <family val="2"/>
    </font>
    <font>
      <sz val="11"/>
      <color theme="0" tint="-0.249977111117893"/>
      <name val="Calibri"/>
      <family val="2"/>
      <scheme val="minor"/>
    </font>
    <font>
      <sz val="11"/>
      <color rgb="FFFF0000"/>
      <name val="Calibri"/>
      <family val="2"/>
      <scheme val="minor"/>
    </font>
    <font>
      <b/>
      <sz val="11"/>
      <color rgb="FFFF0000"/>
      <name val="Calibri"/>
      <family val="2"/>
      <scheme val="minor"/>
    </font>
    <font>
      <b/>
      <sz val="12"/>
      <color theme="1"/>
      <name val="Calibri"/>
      <family val="2"/>
    </font>
    <font>
      <sz val="12"/>
      <color indexed="8"/>
      <name val="Calibri"/>
      <family val="2"/>
    </font>
    <font>
      <u val="singleAccounting"/>
      <sz val="12"/>
      <color indexed="8"/>
      <name val="Calibri"/>
      <family val="2"/>
    </font>
    <font>
      <u val="doubleAccounting"/>
      <sz val="12"/>
      <color indexed="8"/>
      <name val="Calibri"/>
      <family val="2"/>
    </font>
    <font>
      <b/>
      <sz val="14"/>
      <name val="Calibri"/>
      <family val="2"/>
    </font>
    <font>
      <sz val="12"/>
      <color rgb="FF000000"/>
      <name val="Calibri"/>
      <family val="2"/>
      <scheme val="minor"/>
    </font>
    <font>
      <b/>
      <u/>
      <sz val="12"/>
      <color theme="1"/>
      <name val="Calibri"/>
      <family val="2"/>
      <scheme val="minor"/>
    </font>
    <font>
      <sz val="12"/>
      <color indexed="8"/>
      <name val="Arial"/>
      <family val="2"/>
    </font>
    <font>
      <sz val="14"/>
      <color theme="1"/>
      <name val="Calibri"/>
      <family val="2"/>
      <scheme val="minor"/>
    </font>
    <font>
      <b/>
      <sz val="16"/>
      <color theme="0"/>
      <name val="Calibri"/>
      <family val="2"/>
      <scheme val="minor"/>
    </font>
    <font>
      <sz val="18"/>
      <color theme="1"/>
      <name val="Calibri"/>
      <family val="2"/>
      <scheme val="minor"/>
    </font>
    <font>
      <b/>
      <sz val="12"/>
      <name val="Calibri"/>
      <family val="2"/>
      <scheme val="minor"/>
    </font>
    <font>
      <sz val="11"/>
      <color theme="1"/>
      <name val="Arial"/>
      <family val="2"/>
    </font>
    <font>
      <b/>
      <i/>
      <sz val="18"/>
      <color rgb="FFFF0000"/>
      <name val="Calibri"/>
      <family val="2"/>
      <scheme val="minor"/>
    </font>
    <font>
      <sz val="12"/>
      <color rgb="FF000000"/>
      <name val="Georgia"/>
      <family val="1"/>
    </font>
    <font>
      <sz val="12"/>
      <name val="Calibri"/>
      <family val="2"/>
      <scheme val="minor"/>
    </font>
    <font>
      <sz val="12"/>
      <name val="Arial Unicode MS"/>
      <family val="2"/>
    </font>
    <font>
      <b/>
      <sz val="12"/>
      <color rgb="FFFF0000"/>
      <name val="Calibri"/>
      <family val="2"/>
      <scheme val="minor"/>
    </font>
    <font>
      <b/>
      <sz val="14"/>
      <color indexed="22"/>
      <name val="Arial"/>
      <family val="2"/>
    </font>
    <font>
      <b/>
      <sz val="16"/>
      <color theme="0"/>
      <name val="Arial"/>
      <family val="2"/>
    </font>
    <font>
      <b/>
      <sz val="10"/>
      <color indexed="55"/>
      <name val="Arial"/>
      <family val="2"/>
    </font>
    <font>
      <u val="singleAccounting"/>
      <sz val="12"/>
      <color indexed="8"/>
      <name val="Arial"/>
      <family val="2"/>
    </font>
    <font>
      <u val="doubleAccounting"/>
      <sz val="12"/>
      <color indexed="8"/>
      <name val="Arial"/>
      <family val="2"/>
    </font>
    <font>
      <b/>
      <sz val="14"/>
      <name val="Arial"/>
      <family val="2"/>
    </font>
    <font>
      <sz val="14"/>
      <name val="Arial"/>
      <family val="2"/>
    </font>
    <font>
      <b/>
      <u val="doubleAccounting"/>
      <sz val="12"/>
      <color theme="1"/>
      <name val="Calibri"/>
      <family val="2"/>
      <scheme val="minor"/>
    </font>
    <font>
      <b/>
      <u val="double"/>
      <sz val="12"/>
      <color theme="1"/>
      <name val="Calibri"/>
      <family val="2"/>
      <scheme val="minor"/>
    </font>
    <font>
      <b/>
      <sz val="14"/>
      <color indexed="10"/>
      <name val="Calibri"/>
      <family val="2"/>
    </font>
    <font>
      <b/>
      <sz val="11"/>
      <color rgb="FFFFFFFF"/>
      <name val="Arial"/>
      <family val="2"/>
    </font>
    <font>
      <b/>
      <sz val="11"/>
      <color theme="1"/>
      <name val="Arial"/>
      <family val="2"/>
    </font>
    <font>
      <b/>
      <sz val="11"/>
      <color theme="1"/>
      <name val="Calibri"/>
      <family val="2"/>
    </font>
    <font>
      <b/>
      <sz val="20"/>
      <color theme="1"/>
      <name val="Calibri"/>
      <family val="2"/>
      <scheme val="minor"/>
    </font>
    <font>
      <b/>
      <u/>
      <sz val="11"/>
      <color theme="10"/>
      <name val="Calibri"/>
      <family val="2"/>
    </font>
    <font>
      <b/>
      <i/>
      <sz val="9"/>
      <color indexed="9"/>
      <name val="Arial"/>
      <family val="2"/>
    </font>
    <font>
      <sz val="10"/>
      <color indexed="18"/>
      <name val="Arial"/>
      <family val="2"/>
    </font>
    <font>
      <b/>
      <sz val="12"/>
      <color indexed="8"/>
      <name val="Calibri"/>
      <family val="2"/>
      <scheme val="minor"/>
    </font>
    <font>
      <sz val="12"/>
      <color indexed="8"/>
      <name val="Calibri"/>
      <family val="2"/>
      <scheme val="minor"/>
    </font>
    <font>
      <sz val="9"/>
      <color theme="1"/>
      <name val="Arial"/>
      <family val="2"/>
    </font>
    <font>
      <b/>
      <sz val="9"/>
      <color theme="1"/>
      <name val="Arial"/>
      <family val="2"/>
    </font>
    <font>
      <i/>
      <sz val="9"/>
      <color theme="1"/>
      <name val="Arial"/>
      <family val="2"/>
    </font>
    <font>
      <b/>
      <sz val="12"/>
      <color theme="0" tint="-0.249977111117893"/>
      <name val="Calibri"/>
      <family val="2"/>
    </font>
    <font>
      <sz val="12"/>
      <color theme="0" tint="-0.249977111117893"/>
      <name val="Calibri"/>
      <family val="2"/>
      <scheme val="minor"/>
    </font>
    <font>
      <sz val="11"/>
      <color theme="0" tint="-0.249977111117893"/>
      <name val="Calibri"/>
      <family val="2"/>
    </font>
    <font>
      <sz val="12"/>
      <color theme="0" tint="-0.249977111117893"/>
      <name val="Calibri"/>
      <family val="2"/>
    </font>
    <font>
      <sz val="14"/>
      <color theme="1"/>
      <name val="Calibri"/>
      <family val="2"/>
    </font>
    <font>
      <u/>
      <sz val="14"/>
      <color theme="10"/>
      <name val="Calibri"/>
      <family val="2"/>
    </font>
  </fonts>
  <fills count="21">
    <fill>
      <patternFill patternType="none"/>
    </fill>
    <fill>
      <patternFill patternType="gray125"/>
    </fill>
    <fill>
      <patternFill patternType="solid">
        <fgColor indexed="31"/>
      </patternFill>
    </fill>
    <fill>
      <patternFill patternType="solid">
        <fgColor indexed="56"/>
        <bgColor indexed="64"/>
      </patternFill>
    </fill>
    <fill>
      <patternFill patternType="solid">
        <fgColor theme="4" tint="0.79998168889431442"/>
        <bgColor indexed="65"/>
      </patternFill>
    </fill>
    <fill>
      <patternFill patternType="solid">
        <fgColor theme="4"/>
      </patternFill>
    </fill>
    <fill>
      <patternFill patternType="solid">
        <fgColor rgb="FF6B82B2"/>
        <bgColor indexed="64"/>
      </patternFill>
    </fill>
    <fill>
      <patternFill patternType="solid">
        <fgColor rgb="FFFFFFCC"/>
        <bgColor indexed="64"/>
      </patternFill>
    </fill>
    <fill>
      <patternFill patternType="solid">
        <fgColor rgb="FFCCECFF"/>
        <bgColor indexed="64"/>
      </patternFill>
    </fill>
    <fill>
      <patternFill patternType="solid">
        <fgColor rgb="FFFFCCCC"/>
        <bgColor indexed="64"/>
      </patternFill>
    </fill>
    <fill>
      <patternFill patternType="solid">
        <fgColor rgb="FFCCFFFF"/>
        <bgColor indexed="64"/>
      </patternFill>
    </fill>
    <fill>
      <patternFill patternType="solid">
        <fgColor theme="0"/>
        <bgColor indexed="64"/>
      </patternFill>
    </fill>
    <fill>
      <patternFill patternType="solid">
        <fgColor indexed="43"/>
        <bgColor indexed="64"/>
      </patternFill>
    </fill>
    <fill>
      <patternFill patternType="solid">
        <fgColor rgb="FFFFFF00"/>
        <bgColor indexed="64"/>
      </patternFill>
    </fill>
    <fill>
      <patternFill patternType="solid">
        <fgColor rgb="FFFFFFFF"/>
        <bgColor indexed="64"/>
      </patternFill>
    </fill>
    <fill>
      <patternFill patternType="solid">
        <fgColor theme="1"/>
        <bgColor indexed="64"/>
      </patternFill>
    </fill>
    <fill>
      <patternFill patternType="solid">
        <fgColor indexed="42"/>
        <bgColor indexed="64"/>
      </patternFill>
    </fill>
    <fill>
      <patternFill patternType="solid">
        <fgColor rgb="FFF2F2F2"/>
        <bgColor indexed="64"/>
      </patternFill>
    </fill>
    <fill>
      <patternFill patternType="solid">
        <fgColor indexed="18"/>
        <bgColor indexed="24"/>
      </patternFill>
    </fill>
    <fill>
      <patternFill patternType="solid">
        <fgColor indexed="22"/>
        <bgColor indexed="24"/>
      </patternFill>
    </fill>
    <fill>
      <patternFill patternType="solid">
        <fgColor indexed="9"/>
        <bgColor indexed="24"/>
      </patternFill>
    </fill>
  </fills>
  <borders count="47">
    <border>
      <left/>
      <right/>
      <top/>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medium">
        <color indexed="30"/>
      </top>
      <bottom/>
      <diagonal/>
    </border>
    <border>
      <left/>
      <right style="thick">
        <color indexed="56"/>
      </right>
      <top/>
      <bottom/>
      <diagonal/>
    </border>
    <border>
      <left style="thin">
        <color indexed="56"/>
      </left>
      <right style="thin">
        <color indexed="56"/>
      </right>
      <top style="thin">
        <color indexed="56"/>
      </top>
      <bottom style="thin">
        <color indexed="56"/>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4"/>
      </top>
      <bottom style="double">
        <color theme="4"/>
      </bottom>
      <diagonal/>
    </border>
    <border>
      <left/>
      <right/>
      <top style="thin">
        <color indexed="64"/>
      </top>
      <bottom style="double">
        <color indexed="64"/>
      </bottom>
      <diagonal/>
    </border>
    <border>
      <left/>
      <right/>
      <top/>
      <bottom style="medium">
        <color indexed="64"/>
      </bottom>
      <diagonal/>
    </border>
    <border>
      <left/>
      <right/>
      <top style="thin">
        <color indexed="8"/>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8B096"/>
      </left>
      <right style="thin">
        <color rgb="FF78B096"/>
      </right>
      <top style="thin">
        <color rgb="FF78B096"/>
      </top>
      <bottom style="thin">
        <color rgb="FF78B096"/>
      </bottom>
      <diagonal/>
    </border>
    <border>
      <left style="thin">
        <color rgb="FF78B096"/>
      </left>
      <right/>
      <top style="thin">
        <color rgb="FF78B096"/>
      </top>
      <bottom/>
      <diagonal/>
    </border>
    <border>
      <left/>
      <right/>
      <top style="thin">
        <color rgb="FF78B096"/>
      </top>
      <bottom/>
      <diagonal/>
    </border>
    <border>
      <left/>
      <right style="thin">
        <color rgb="FF78B096"/>
      </right>
      <top style="thin">
        <color rgb="FF78B096"/>
      </top>
      <bottom/>
      <diagonal/>
    </border>
    <border>
      <left style="thin">
        <color rgb="FF78B096"/>
      </left>
      <right/>
      <top/>
      <bottom style="thin">
        <color rgb="FF78B096"/>
      </bottom>
      <diagonal/>
    </border>
    <border>
      <left/>
      <right/>
      <top/>
      <bottom style="thin">
        <color rgb="FF78B096"/>
      </bottom>
      <diagonal/>
    </border>
    <border>
      <left/>
      <right style="thin">
        <color rgb="FF78B096"/>
      </right>
      <top/>
      <bottom style="thin">
        <color rgb="FF78B096"/>
      </bottom>
      <diagonal/>
    </border>
    <border>
      <left style="thin">
        <color rgb="FF78B096"/>
      </left>
      <right/>
      <top style="thin">
        <color rgb="FF78B096"/>
      </top>
      <bottom style="thin">
        <color rgb="FF78B096"/>
      </bottom>
      <diagonal/>
    </border>
    <border>
      <left/>
      <right style="thin">
        <color rgb="FF78B096"/>
      </right>
      <top style="thin">
        <color rgb="FF78B096"/>
      </top>
      <bottom style="thin">
        <color rgb="FF78B096"/>
      </bottom>
      <diagonal/>
    </border>
  </borders>
  <cellStyleXfs count="23">
    <xf numFmtId="0" fontId="0" fillId="0" borderId="0"/>
    <xf numFmtId="0" fontId="35" fillId="0" borderId="0" applyNumberFormat="0" applyFill="0" applyBorder="0" applyAlignment="0" applyProtection="0"/>
    <xf numFmtId="0" fontId="15" fillId="4" borderId="0" applyNumberFormat="0" applyBorder="0" applyAlignment="0" applyProtection="0"/>
    <xf numFmtId="0" fontId="2" fillId="2" borderId="0" applyNumberFormat="0" applyBorder="0" applyAlignment="0" applyProtection="0"/>
    <xf numFmtId="0" fontId="16" fillId="5" borderId="0" applyNumberFormat="0" applyBorder="0" applyAlignment="0" applyProtection="0"/>
    <xf numFmtId="43" fontId="3" fillId="0" borderId="0" applyFont="0" applyFill="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9" fontId="3" fillId="0" borderId="0" applyFont="0" applyFill="0" applyBorder="0" applyAlignment="0" applyProtection="0"/>
    <xf numFmtId="0" fontId="20" fillId="0" borderId="0" applyNumberFormat="0" applyFill="0" applyBorder="0" applyAlignment="0" applyProtection="0"/>
    <xf numFmtId="0" fontId="25" fillId="0" borderId="0" applyNumberFormat="0" applyFill="0" applyBorder="0" applyAlignment="0" applyProtection="0">
      <alignment vertical="top"/>
      <protection locked="0"/>
    </xf>
    <xf numFmtId="44" fontId="15" fillId="0" borderId="0" applyFont="0" applyFill="0" applyBorder="0" applyAlignment="0" applyProtection="0"/>
    <xf numFmtId="0" fontId="26" fillId="0" borderId="22" applyNumberFormat="0" applyFill="0" applyAlignment="0" applyProtection="0"/>
    <xf numFmtId="49" fontId="38" fillId="0" borderId="0" applyFont="0" applyFill="0" applyBorder="0" applyAlignment="0" applyProtection="0"/>
    <xf numFmtId="0" fontId="39" fillId="0" borderId="0" applyNumberFormat="0" applyFill="0" applyBorder="0" applyProtection="0">
      <alignment horizontal="left"/>
    </xf>
    <xf numFmtId="0" fontId="39" fillId="0" borderId="0" applyNumberFormat="0" applyFill="0" applyBorder="0" applyAlignment="0" applyProtection="0"/>
    <xf numFmtId="0" fontId="41" fillId="0" borderId="0" applyNumberFormat="0" applyFill="0" applyBorder="0" applyAlignment="0" applyProtection="0"/>
    <xf numFmtId="0" fontId="39" fillId="0" borderId="25" applyNumberFormat="0" applyFill="0" applyAlignment="0" applyProtection="0"/>
    <xf numFmtId="0" fontId="39" fillId="0" borderId="25" applyNumberFormat="0" applyFill="0" applyAlignment="0" applyProtection="0"/>
    <xf numFmtId="0" fontId="39" fillId="0" borderId="25" applyNumberFormat="0" applyFill="0" applyAlignment="0" applyProtection="0"/>
    <xf numFmtId="49" fontId="76" fillId="0" borderId="0" applyFill="0" applyBorder="0" applyProtection="0">
      <alignment horizontal="left"/>
    </xf>
    <xf numFmtId="49" fontId="78" fillId="0" borderId="0" applyFill="0" applyBorder="0" applyProtection="0">
      <alignment horizontal="left"/>
    </xf>
  </cellStyleXfs>
  <cellXfs count="668">
    <xf numFmtId="0" fontId="0" fillId="0" borderId="0" xfId="0"/>
    <xf numFmtId="0" fontId="28" fillId="11" borderId="0" xfId="2" applyFont="1" applyFill="1" applyAlignment="1" applyProtection="1">
      <alignment horizontal="left" vertical="top" wrapText="1"/>
      <protection locked="0"/>
    </xf>
    <xf numFmtId="0" fontId="20" fillId="0" borderId="0" xfId="10" applyProtection="1">
      <protection locked="0"/>
    </xf>
    <xf numFmtId="0" fontId="0" fillId="0" borderId="0" xfId="0" applyProtection="1">
      <protection locked="0"/>
    </xf>
    <xf numFmtId="0" fontId="0" fillId="0" borderId="0" xfId="0" quotePrefix="1" applyProtection="1">
      <protection locked="0"/>
    </xf>
    <xf numFmtId="0" fontId="0" fillId="0" borderId="0" xfId="0" applyAlignment="1" applyProtection="1">
      <alignment horizontal="left" indent="1"/>
      <protection locked="0"/>
    </xf>
    <xf numFmtId="0" fontId="18" fillId="0" borderId="9" xfId="7" applyProtection="1">
      <protection locked="0"/>
    </xf>
    <xf numFmtId="0" fontId="18" fillId="0" borderId="9" xfId="7" applyFill="1" applyProtection="1">
      <protection locked="0"/>
    </xf>
    <xf numFmtId="0" fontId="15" fillId="4" borderId="0" xfId="2" applyFont="1" applyProtection="1">
      <protection locked="0"/>
    </xf>
    <xf numFmtId="0" fontId="5" fillId="4" borderId="0" xfId="2" applyFont="1" applyProtection="1">
      <protection locked="0"/>
    </xf>
    <xf numFmtId="0" fontId="15" fillId="4" borderId="0" xfId="2" applyProtection="1">
      <protection locked="0"/>
    </xf>
    <xf numFmtId="18" fontId="0" fillId="0" borderId="0" xfId="0" applyNumberFormat="1" applyProtection="1">
      <protection locked="0"/>
    </xf>
    <xf numFmtId="165" fontId="0" fillId="0" borderId="0" xfId="0" applyNumberFormat="1" applyProtection="1">
      <protection locked="0"/>
    </xf>
    <xf numFmtId="14" fontId="0" fillId="0" borderId="0" xfId="0" applyNumberFormat="1" applyProtection="1">
      <protection locked="0"/>
    </xf>
    <xf numFmtId="20" fontId="0" fillId="0" borderId="0" xfId="0" applyNumberFormat="1" applyProtection="1">
      <protection locked="0"/>
    </xf>
    <xf numFmtId="14" fontId="18" fillId="0" borderId="9" xfId="7" applyNumberFormat="1" applyProtection="1">
      <protection locked="0"/>
    </xf>
    <xf numFmtId="0" fontId="18" fillId="0" borderId="9" xfId="7" applyAlignment="1" applyProtection="1">
      <alignment horizontal="left" indent="1"/>
      <protection locked="0"/>
    </xf>
    <xf numFmtId="19" fontId="0" fillId="0" borderId="0" xfId="0" applyNumberFormat="1" applyProtection="1">
      <protection locked="0"/>
    </xf>
    <xf numFmtId="0" fontId="15" fillId="4" borderId="0" xfId="2" applyAlignment="1" applyProtection="1">
      <alignment horizontal="left" indent="1"/>
      <protection locked="0"/>
    </xf>
    <xf numFmtId="0" fontId="0" fillId="0" borderId="0" xfId="0" quotePrefix="1" applyAlignment="1" applyProtection="1">
      <alignment horizontal="left"/>
      <protection locked="0"/>
    </xf>
    <xf numFmtId="14" fontId="15" fillId="4" borderId="0" xfId="2" applyNumberFormat="1" applyFont="1" applyProtection="1">
      <protection locked="0"/>
    </xf>
    <xf numFmtId="0" fontId="0" fillId="0" borderId="0" xfId="0" applyNumberFormat="1" applyProtection="1">
      <protection locked="0"/>
    </xf>
    <xf numFmtId="14" fontId="0" fillId="0" borderId="0" xfId="0" applyNumberForma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horizontal="left" vertical="top" indent="1"/>
      <protection locked="0"/>
    </xf>
    <xf numFmtId="0" fontId="0" fillId="0" borderId="0" xfId="0" quotePrefix="1" applyAlignment="1" applyProtection="1">
      <alignment vertical="top"/>
      <protection locked="0"/>
    </xf>
    <xf numFmtId="0" fontId="0" fillId="0" borderId="0" xfId="0" applyAlignment="1" applyProtection="1">
      <alignment horizontal="left" wrapText="1" indent="1"/>
      <protection locked="0"/>
    </xf>
    <xf numFmtId="22" fontId="0" fillId="0" borderId="0" xfId="0" applyNumberFormat="1" applyProtection="1">
      <protection locked="0"/>
    </xf>
    <xf numFmtId="0" fontId="22" fillId="6" borderId="0" xfId="0" applyFont="1" applyFill="1" applyAlignment="1" applyProtection="1">
      <alignment wrapText="1"/>
      <protection locked="0"/>
    </xf>
    <xf numFmtId="0" fontId="25" fillId="0" borderId="0" xfId="11" applyAlignment="1" applyProtection="1">
      <alignment vertical="top" wrapText="1"/>
      <protection locked="0"/>
    </xf>
    <xf numFmtId="0" fontId="22" fillId="0" borderId="0" xfId="0" applyFont="1" applyAlignment="1" applyProtection="1">
      <alignment vertical="top" wrapText="1"/>
      <protection locked="0"/>
    </xf>
    <xf numFmtId="0" fontId="22" fillId="0" borderId="0" xfId="0" applyFont="1" applyProtection="1">
      <protection locked="0"/>
    </xf>
    <xf numFmtId="0" fontId="23" fillId="0" borderId="0" xfId="0" applyFont="1" applyProtection="1">
      <protection locked="0"/>
    </xf>
    <xf numFmtId="0" fontId="24" fillId="0" borderId="0" xfId="0" applyFont="1" applyProtection="1">
      <protection locked="0"/>
    </xf>
    <xf numFmtId="0" fontId="19" fillId="0" borderId="10" xfId="8" applyProtection="1">
      <protection locked="0"/>
    </xf>
    <xf numFmtId="0" fontId="15" fillId="4" borderId="0" xfId="2" quotePrefix="1" applyProtection="1">
      <protection locked="0"/>
    </xf>
    <xf numFmtId="166" fontId="0" fillId="0" borderId="0" xfId="0" applyNumberFormat="1" applyProtection="1">
      <protection locked="0"/>
    </xf>
    <xf numFmtId="166" fontId="15" fillId="4" borderId="0" xfId="2" applyNumberFormat="1" applyProtection="1">
      <protection locked="0"/>
    </xf>
    <xf numFmtId="0" fontId="19" fillId="0" borderId="10" xfId="8" applyAlignment="1" applyProtection="1">
      <alignment vertical="top"/>
      <protection locked="0"/>
    </xf>
    <xf numFmtId="0" fontId="19" fillId="0" borderId="10" xfId="8" applyAlignment="1" applyProtection="1">
      <alignment horizontal="right" vertical="top"/>
      <protection locked="0"/>
    </xf>
    <xf numFmtId="0" fontId="15" fillId="4" borderId="0" xfId="2" applyFont="1" applyAlignment="1" applyProtection="1">
      <alignment vertical="top"/>
      <protection locked="0"/>
    </xf>
    <xf numFmtId="0" fontId="15" fillId="4" borderId="0" xfId="2" applyAlignment="1" applyProtection="1">
      <alignment vertical="top"/>
      <protection locked="0"/>
    </xf>
    <xf numFmtId="43" fontId="15" fillId="4" borderId="0" xfId="2" quotePrefix="1" applyNumberFormat="1" applyFont="1" applyProtection="1">
      <protection locked="0"/>
    </xf>
    <xf numFmtId="43" fontId="15" fillId="4" borderId="0" xfId="2" applyNumberFormat="1" applyProtection="1">
      <protection locked="0"/>
    </xf>
    <xf numFmtId="0" fontId="0" fillId="0" borderId="0" xfId="0" applyAlignment="1" applyProtection="1">
      <alignment horizontal="left" vertical="top" indent="2"/>
      <protection locked="0"/>
    </xf>
    <xf numFmtId="0" fontId="15" fillId="4" borderId="0" xfId="2" quotePrefix="1" applyFont="1" applyAlignment="1" applyProtection="1">
      <alignment vertical="top"/>
      <protection locked="0"/>
    </xf>
    <xf numFmtId="164" fontId="3" fillId="2" borderId="0" xfId="5" applyNumberFormat="1" applyFill="1" applyProtection="1">
      <protection locked="0"/>
    </xf>
    <xf numFmtId="0" fontId="0" fillId="0" borderId="0" xfId="0" applyAlignment="1" applyProtection="1">
      <alignment horizontal="left" indent="2"/>
      <protection locked="0"/>
    </xf>
    <xf numFmtId="164" fontId="15" fillId="0" borderId="0" xfId="5" applyNumberFormat="1" applyFont="1" applyProtection="1">
      <protection locked="0"/>
    </xf>
    <xf numFmtId="0" fontId="3" fillId="4" borderId="0" xfId="2" applyFont="1" applyAlignment="1" applyProtection="1">
      <alignment vertical="top"/>
      <protection locked="0"/>
    </xf>
    <xf numFmtId="43" fontId="3" fillId="2" borderId="0" xfId="5" quotePrefix="1" applyFont="1" applyFill="1" applyAlignment="1" applyProtection="1">
      <alignment vertical="top"/>
      <protection locked="0"/>
    </xf>
    <xf numFmtId="43" fontId="3" fillId="2" borderId="0" xfId="5" applyFill="1" applyProtection="1">
      <protection locked="0"/>
    </xf>
    <xf numFmtId="43" fontId="15" fillId="2" borderId="0" xfId="5" applyFont="1" applyFill="1" applyAlignment="1" applyProtection="1">
      <alignment horizontal="right"/>
      <protection locked="0"/>
    </xf>
    <xf numFmtId="0" fontId="6" fillId="0" borderId="1" xfId="2" applyFont="1" applyFill="1" applyBorder="1" applyAlignment="1" applyProtection="1">
      <alignment horizontal="right" vertical="center"/>
      <protection locked="0"/>
    </xf>
    <xf numFmtId="0" fontId="6" fillId="0" borderId="1" xfId="2" applyFont="1" applyFill="1" applyBorder="1" applyAlignment="1" applyProtection="1">
      <alignment horizontal="center" vertical="center"/>
      <protection locked="0"/>
    </xf>
    <xf numFmtId="0" fontId="6" fillId="0" borderId="1" xfId="2" applyFont="1" applyFill="1" applyBorder="1" applyAlignment="1" applyProtection="1">
      <alignment vertical="center"/>
      <protection locked="0"/>
    </xf>
    <xf numFmtId="0" fontId="6" fillId="0" borderId="1" xfId="2" applyFont="1" applyFill="1" applyBorder="1" applyAlignment="1" applyProtection="1">
      <alignment horizontal="left" vertical="center"/>
      <protection locked="0"/>
    </xf>
    <xf numFmtId="0" fontId="0" fillId="0" borderId="0" xfId="0" applyAlignment="1" applyProtection="1">
      <alignment horizontal="center"/>
      <protection locked="0"/>
    </xf>
    <xf numFmtId="43" fontId="15" fillId="0" borderId="0" xfId="5" applyFont="1" applyProtection="1">
      <protection locked="0"/>
    </xf>
    <xf numFmtId="0" fontId="0" fillId="0" borderId="0" xfId="0" applyAlignment="1" applyProtection="1">
      <alignment horizontal="right"/>
      <protection locked="0"/>
    </xf>
    <xf numFmtId="0" fontId="0" fillId="0" borderId="0" xfId="0" applyBorder="1" applyProtection="1">
      <protection locked="0"/>
    </xf>
    <xf numFmtId="0" fontId="0" fillId="0" borderId="0" xfId="0" applyBorder="1" applyAlignment="1" applyProtection="1">
      <alignment horizontal="center"/>
      <protection locked="0"/>
    </xf>
    <xf numFmtId="43" fontId="15" fillId="0" borderId="0" xfId="5" applyFont="1" applyBorder="1" applyProtection="1">
      <protection locked="0"/>
    </xf>
    <xf numFmtId="0" fontId="0" fillId="0" borderId="0" xfId="0" applyBorder="1" applyAlignment="1" applyProtection="1">
      <alignment horizontal="right"/>
      <protection locked="0"/>
    </xf>
    <xf numFmtId="166" fontId="15" fillId="0" borderId="0" xfId="5" applyNumberFormat="1" applyFont="1" applyBorder="1" applyAlignment="1" applyProtection="1">
      <alignment horizontal="right"/>
      <protection locked="0"/>
    </xf>
    <xf numFmtId="0" fontId="15" fillId="0" borderId="0" xfId="2" applyFont="1" applyFill="1" applyBorder="1" applyAlignment="1" applyProtection="1">
      <alignment horizontal="left" vertical="center"/>
      <protection locked="0"/>
    </xf>
    <xf numFmtId="0" fontId="6" fillId="0" borderId="0" xfId="2" applyFont="1" applyFill="1" applyBorder="1" applyAlignment="1" applyProtection="1">
      <alignment horizontal="left" vertical="center"/>
      <protection locked="0"/>
    </xf>
    <xf numFmtId="166" fontId="15" fillId="0" borderId="0" xfId="5" applyNumberFormat="1" applyFont="1" applyAlignment="1" applyProtection="1">
      <alignment horizontal="right"/>
      <protection locked="0"/>
    </xf>
    <xf numFmtId="0" fontId="18" fillId="0" borderId="0" xfId="7" applyBorder="1" applyAlignment="1" applyProtection="1">
      <alignment vertical="top"/>
      <protection locked="0"/>
    </xf>
    <xf numFmtId="43" fontId="3" fillId="2" borderId="0" xfId="5" applyNumberFormat="1" applyFill="1" applyProtection="1">
      <protection locked="0"/>
    </xf>
    <xf numFmtId="0" fontId="3" fillId="4" borderId="0" xfId="2" quotePrefix="1" applyFont="1" applyAlignment="1" applyProtection="1">
      <alignment vertical="top"/>
      <protection locked="0"/>
    </xf>
    <xf numFmtId="1" fontId="3" fillId="4" borderId="0" xfId="2" quotePrefix="1" applyNumberFormat="1" applyFont="1" applyAlignment="1" applyProtection="1">
      <alignment vertical="top"/>
      <protection locked="0"/>
    </xf>
    <xf numFmtId="2" fontId="3" fillId="4" borderId="0" xfId="2" quotePrefix="1" applyNumberFormat="1" applyFont="1" applyAlignment="1" applyProtection="1">
      <alignment vertical="top"/>
      <protection locked="0"/>
    </xf>
    <xf numFmtId="0" fontId="3" fillId="4" borderId="0" xfId="2" applyFont="1" applyProtection="1">
      <protection locked="0"/>
    </xf>
    <xf numFmtId="0" fontId="3" fillId="4" borderId="0" xfId="2" quotePrefix="1" applyFont="1" applyProtection="1">
      <protection locked="0"/>
    </xf>
    <xf numFmtId="0" fontId="3" fillId="0" borderId="0" xfId="2" applyFont="1" applyFill="1" applyAlignment="1" applyProtection="1">
      <alignment vertical="top"/>
      <protection locked="0"/>
    </xf>
    <xf numFmtId="0" fontId="5" fillId="0" borderId="10" xfId="8" applyFont="1" applyAlignment="1" applyProtection="1">
      <alignment vertical="top"/>
      <protection locked="0"/>
    </xf>
    <xf numFmtId="0" fontId="15" fillId="4" borderId="3" xfId="2" applyBorder="1" applyAlignment="1" applyProtection="1">
      <alignment vertical="top"/>
      <protection locked="0"/>
    </xf>
    <xf numFmtId="0" fontId="11" fillId="0" borderId="0" xfId="0" applyFont="1" applyBorder="1" applyProtection="1">
      <protection locked="0"/>
    </xf>
    <xf numFmtId="0" fontId="15" fillId="4" borderId="1" xfId="2" applyBorder="1" applyAlignment="1" applyProtection="1">
      <alignment vertical="top"/>
      <protection locked="0"/>
    </xf>
    <xf numFmtId="0" fontId="15" fillId="0" borderId="0" xfId="2" applyFill="1" applyAlignment="1" applyProtection="1">
      <alignment vertical="top"/>
      <protection locked="0"/>
    </xf>
    <xf numFmtId="0" fontId="0" fillId="0" borderId="0" xfId="0" applyFill="1" applyProtection="1">
      <protection locked="0"/>
    </xf>
    <xf numFmtId="43" fontId="0" fillId="0" borderId="0" xfId="0" applyNumberFormat="1" applyProtection="1">
      <protection locked="0"/>
    </xf>
    <xf numFmtId="0" fontId="2" fillId="2" borderId="0" xfId="3" applyProtection="1">
      <protection locked="0"/>
    </xf>
    <xf numFmtId="0" fontId="2" fillId="2" borderId="0" xfId="3" applyFont="1" applyProtection="1">
      <protection locked="0"/>
    </xf>
    <xf numFmtId="164" fontId="2" fillId="0" borderId="0" xfId="5" applyNumberFormat="1" applyFont="1" applyAlignment="1" applyProtection="1">
      <alignment horizontal="right"/>
      <protection locked="0"/>
    </xf>
    <xf numFmtId="0" fontId="16" fillId="3" borderId="0" xfId="4" applyFill="1" applyAlignment="1" applyProtection="1">
      <alignment horizontal="center"/>
      <protection locked="0"/>
    </xf>
    <xf numFmtId="164" fontId="2" fillId="0" borderId="0" xfId="5" applyNumberFormat="1" applyFont="1" applyProtection="1">
      <protection locked="0"/>
    </xf>
    <xf numFmtId="0" fontId="16" fillId="3" borderId="4" xfId="4" applyFill="1" applyBorder="1" applyAlignment="1" applyProtection="1">
      <alignment horizontal="left"/>
      <protection locked="0"/>
    </xf>
    <xf numFmtId="41" fontId="0" fillId="0" borderId="0" xfId="0" applyNumberFormat="1" applyProtection="1">
      <protection locked="0"/>
    </xf>
    <xf numFmtId="41" fontId="2" fillId="2" borderId="0" xfId="3" applyNumberFormat="1" applyBorder="1" applyProtection="1">
      <protection locked="0"/>
    </xf>
    <xf numFmtId="41" fontId="2" fillId="0" borderId="0" xfId="3" applyNumberFormat="1" applyFill="1" applyBorder="1" applyProtection="1">
      <protection locked="0"/>
    </xf>
    <xf numFmtId="0" fontId="0" fillId="0" borderId="0" xfId="0" applyAlignment="1" applyProtection="1">
      <alignment wrapText="1"/>
      <protection locked="0"/>
    </xf>
    <xf numFmtId="0" fontId="0" fillId="0" borderId="5" xfId="0" applyBorder="1" applyProtection="1">
      <protection locked="0"/>
    </xf>
    <xf numFmtId="0" fontId="0" fillId="0" borderId="5" xfId="0" applyBorder="1" applyAlignment="1" applyProtection="1">
      <alignment horizontal="center"/>
      <protection locked="0"/>
    </xf>
    <xf numFmtId="0" fontId="2" fillId="0" borderId="0" xfId="5" applyNumberFormat="1" applyFont="1" applyAlignment="1" applyProtection="1">
      <alignment horizontal="right"/>
      <protection locked="0"/>
    </xf>
    <xf numFmtId="0" fontId="2" fillId="0" borderId="0" xfId="5" applyNumberFormat="1" applyFont="1" applyProtection="1">
      <protection locked="0"/>
    </xf>
    <xf numFmtId="37" fontId="2" fillId="0" borderId="0" xfId="3" applyNumberFormat="1" applyFill="1" applyBorder="1" applyProtection="1">
      <protection locked="0"/>
    </xf>
    <xf numFmtId="0" fontId="14" fillId="0" borderId="0" xfId="0" applyFont="1" applyProtection="1">
      <protection locked="0"/>
    </xf>
    <xf numFmtId="14" fontId="15" fillId="4" borderId="0" xfId="2" applyNumberFormat="1" applyProtection="1">
      <protection locked="0"/>
    </xf>
    <xf numFmtId="14" fontId="15" fillId="4" borderId="0" xfId="2" quotePrefix="1" applyNumberFormat="1" applyProtection="1">
      <protection locked="0"/>
    </xf>
    <xf numFmtId="14" fontId="15" fillId="0" borderId="0" xfId="2" quotePrefix="1" applyNumberFormat="1" applyFill="1" applyProtection="1">
      <protection locked="0"/>
    </xf>
    <xf numFmtId="0" fontId="15" fillId="0" borderId="0" xfId="2" applyFont="1" applyFill="1" applyProtection="1">
      <protection locked="0"/>
    </xf>
    <xf numFmtId="22" fontId="0" fillId="0" borderId="0" xfId="0" quotePrefix="1" applyNumberFormat="1" applyProtection="1">
      <protection locked="0"/>
    </xf>
    <xf numFmtId="0" fontId="17" fillId="0" borderId="8" xfId="6" applyProtection="1">
      <protection locked="0"/>
    </xf>
    <xf numFmtId="14" fontId="16" fillId="5" borderId="0" xfId="4" applyNumberFormat="1" applyProtection="1">
      <protection locked="0"/>
    </xf>
    <xf numFmtId="8" fontId="16" fillId="5" borderId="0" xfId="4" applyNumberFormat="1" applyProtection="1">
      <protection locked="0"/>
    </xf>
    <xf numFmtId="6" fontId="15" fillId="4" borderId="0" xfId="2" applyNumberFormat="1" applyFont="1" applyProtection="1">
      <protection locked="0"/>
    </xf>
    <xf numFmtId="10" fontId="0" fillId="0" borderId="0" xfId="0" applyNumberFormat="1" applyProtection="1">
      <protection locked="0"/>
    </xf>
    <xf numFmtId="164" fontId="15" fillId="2" borderId="0" xfId="5" applyNumberFormat="1" applyFont="1" applyFill="1" applyProtection="1">
      <protection locked="0"/>
    </xf>
    <xf numFmtId="6" fontId="15" fillId="0" borderId="0" xfId="2" applyNumberFormat="1" applyFont="1" applyFill="1" applyProtection="1">
      <protection locked="0"/>
    </xf>
    <xf numFmtId="8" fontId="0" fillId="0" borderId="0" xfId="0" applyNumberFormat="1" applyProtection="1">
      <protection locked="0"/>
    </xf>
    <xf numFmtId="0" fontId="0" fillId="0" borderId="0" xfId="0" applyAlignment="1" applyProtection="1">
      <alignment vertical="top" wrapText="1"/>
      <protection locked="0"/>
    </xf>
    <xf numFmtId="0" fontId="34" fillId="0" borderId="0" xfId="0" applyFont="1" applyAlignment="1" applyProtection="1">
      <alignment horizontal="left"/>
      <protection locked="0"/>
    </xf>
    <xf numFmtId="0" fontId="42" fillId="0" borderId="0" xfId="0" applyFont="1" applyProtection="1">
      <protection locked="0"/>
    </xf>
    <xf numFmtId="0" fontId="34" fillId="0" borderId="0" xfId="0" quotePrefix="1" applyFont="1" applyAlignment="1" applyProtection="1">
      <alignment horizontal="left"/>
      <protection locked="0"/>
    </xf>
    <xf numFmtId="14" fontId="42" fillId="0" borderId="0" xfId="0" applyNumberFormat="1" applyFont="1" applyProtection="1">
      <protection locked="0"/>
    </xf>
    <xf numFmtId="0" fontId="42" fillId="12" borderId="2" xfId="0" applyFont="1" applyFill="1" applyBorder="1" applyProtection="1">
      <protection locked="0"/>
    </xf>
    <xf numFmtId="0" fontId="42" fillId="0" borderId="0" xfId="0" quotePrefix="1" applyFont="1" applyAlignment="1" applyProtection="1">
      <alignment horizontal="left"/>
      <protection locked="0"/>
    </xf>
    <xf numFmtId="0" fontId="81" fillId="16" borderId="11" xfId="0" quotePrefix="1" applyFont="1" applyFill="1" applyBorder="1" applyAlignment="1" applyProtection="1">
      <alignment horizontal="centerContinuous"/>
      <protection locked="0"/>
    </xf>
    <xf numFmtId="0" fontId="82" fillId="16" borderId="12" xfId="0" applyFont="1" applyFill="1" applyBorder="1" applyAlignment="1" applyProtection="1">
      <alignment horizontal="centerContinuous"/>
      <protection locked="0"/>
    </xf>
    <xf numFmtId="164" fontId="82" fillId="16" borderId="12" xfId="5" applyNumberFormat="1" applyFont="1" applyFill="1" applyBorder="1" applyAlignment="1" applyProtection="1">
      <alignment horizontal="centerContinuous"/>
      <protection locked="0"/>
    </xf>
    <xf numFmtId="0" fontId="82" fillId="16" borderId="13" xfId="0" applyFont="1" applyFill="1" applyBorder="1" applyAlignment="1" applyProtection="1">
      <alignment horizontal="centerContinuous"/>
      <protection locked="0"/>
    </xf>
    <xf numFmtId="0" fontId="81" fillId="16" borderId="16" xfId="0" quotePrefix="1" applyFont="1" applyFill="1" applyBorder="1" applyAlignment="1" applyProtection="1">
      <alignment horizontal="centerContinuous"/>
      <protection locked="0"/>
    </xf>
    <xf numFmtId="0" fontId="82" fillId="16" borderId="17" xfId="0" applyFont="1" applyFill="1" applyBorder="1" applyAlignment="1" applyProtection="1">
      <alignment horizontal="centerContinuous"/>
      <protection locked="0"/>
    </xf>
    <xf numFmtId="164" fontId="82" fillId="16" borderId="17" xfId="5" applyNumberFormat="1" applyFont="1" applyFill="1" applyBorder="1" applyAlignment="1" applyProtection="1">
      <alignment horizontal="centerContinuous"/>
      <protection locked="0"/>
    </xf>
    <xf numFmtId="0" fontId="82" fillId="16" borderId="18" xfId="0" applyFont="1" applyFill="1" applyBorder="1" applyAlignment="1" applyProtection="1">
      <alignment horizontal="centerContinuous"/>
      <protection locked="0"/>
    </xf>
    <xf numFmtId="0" fontId="81" fillId="16" borderId="0" xfId="0" quotePrefix="1" applyFont="1" applyFill="1" applyBorder="1" applyAlignment="1" applyProtection="1">
      <alignment horizontal="centerContinuous"/>
      <protection locked="0"/>
    </xf>
    <xf numFmtId="0" fontId="82" fillId="16" borderId="0" xfId="0" applyFont="1" applyFill="1" applyBorder="1" applyAlignment="1" applyProtection="1">
      <alignment horizontal="centerContinuous"/>
      <protection locked="0"/>
    </xf>
    <xf numFmtId="164" fontId="82" fillId="16" borderId="0" xfId="5" applyNumberFormat="1" applyFont="1" applyFill="1" applyBorder="1" applyAlignment="1" applyProtection="1">
      <alignment horizontal="centerContinuous"/>
      <protection locked="0"/>
    </xf>
    <xf numFmtId="0" fontId="81" fillId="0" borderId="20" xfId="0" applyFont="1" applyBorder="1" applyAlignment="1" applyProtection="1">
      <alignment horizontal="left"/>
      <protection locked="0"/>
    </xf>
    <xf numFmtId="164" fontId="81" fillId="0" borderId="20" xfId="5" applyNumberFormat="1" applyFont="1" applyBorder="1" applyAlignment="1" applyProtection="1">
      <alignment horizontal="left"/>
      <protection locked="0"/>
    </xf>
    <xf numFmtId="164" fontId="81" fillId="0" borderId="20" xfId="5" applyNumberFormat="1" applyFont="1" applyBorder="1" applyAlignment="1" applyProtection="1">
      <alignment horizontal="center"/>
      <protection locked="0"/>
    </xf>
    <xf numFmtId="167" fontId="81" fillId="0" borderId="20" xfId="9" quotePrefix="1" applyNumberFormat="1" applyFont="1" applyBorder="1" applyAlignment="1" applyProtection="1">
      <alignment horizontal="center" wrapText="1"/>
      <protection locked="0"/>
    </xf>
    <xf numFmtId="0" fontId="82" fillId="0" borderId="0" xfId="0" applyFont="1" applyProtection="1">
      <protection locked="0"/>
    </xf>
    <xf numFmtId="164" fontId="82" fillId="0" borderId="0" xfId="5" applyNumberFormat="1" applyFont="1" applyProtection="1">
      <protection locked="0"/>
    </xf>
    <xf numFmtId="167" fontId="82" fillId="0" borderId="0" xfId="9" applyNumberFormat="1" applyFont="1" applyAlignment="1" applyProtection="1">
      <alignment horizontal="center"/>
      <protection locked="0"/>
    </xf>
    <xf numFmtId="0" fontId="82" fillId="0" borderId="0" xfId="0" applyFont="1" applyAlignment="1" applyProtection="1">
      <alignment horizontal="center"/>
      <protection locked="0"/>
    </xf>
    <xf numFmtId="167" fontId="82" fillId="0" borderId="0" xfId="9" applyNumberFormat="1" applyFont="1" applyBorder="1" applyAlignment="1" applyProtection="1">
      <alignment horizontal="center"/>
      <protection locked="0"/>
    </xf>
    <xf numFmtId="164" fontId="42" fillId="0" borderId="0" xfId="5" applyNumberFormat="1" applyFont="1" applyProtection="1">
      <protection locked="0"/>
    </xf>
    <xf numFmtId="164" fontId="42" fillId="0" borderId="0" xfId="5" quotePrefix="1" applyNumberFormat="1" applyFont="1" applyAlignment="1" applyProtection="1">
      <alignment horizontal="left"/>
      <protection locked="0"/>
    </xf>
    <xf numFmtId="8" fontId="42" fillId="12" borderId="2" xfId="0" applyNumberFormat="1" applyFont="1" applyFill="1" applyBorder="1" applyProtection="1">
      <protection locked="0"/>
    </xf>
    <xf numFmtId="0" fontId="1" fillId="0" borderId="0" xfId="0" applyFont="1" applyProtection="1">
      <protection locked="0"/>
    </xf>
    <xf numFmtId="9" fontId="1" fillId="0" borderId="0" xfId="9" applyFont="1" applyProtection="1">
      <protection locked="0"/>
    </xf>
    <xf numFmtId="0" fontId="89" fillId="0" borderId="0" xfId="0" applyFont="1" applyProtection="1">
      <protection locked="0"/>
    </xf>
    <xf numFmtId="164" fontId="1" fillId="0" borderId="2" xfId="5" applyNumberFormat="1" applyFont="1" applyBorder="1" applyProtection="1">
      <protection locked="0"/>
    </xf>
    <xf numFmtId="0" fontId="25" fillId="0" borderId="0" xfId="11" applyAlignment="1" applyProtection="1">
      <protection locked="0"/>
    </xf>
    <xf numFmtId="0" fontId="95" fillId="0" borderId="38" xfId="0" applyFont="1" applyBorder="1" applyAlignment="1" applyProtection="1">
      <alignment horizontal="center" wrapText="1"/>
      <protection locked="0"/>
    </xf>
    <xf numFmtId="0" fontId="96" fillId="0" borderId="38" xfId="0" applyFont="1" applyBorder="1" applyAlignment="1" applyProtection="1">
      <alignment horizontal="center" wrapText="1"/>
      <protection locked="0"/>
    </xf>
    <xf numFmtId="9" fontId="96" fillId="0" borderId="38" xfId="0" applyNumberFormat="1" applyFont="1" applyBorder="1" applyAlignment="1" applyProtection="1">
      <alignment horizontal="center" wrapText="1"/>
      <protection locked="0"/>
    </xf>
    <xf numFmtId="0" fontId="26" fillId="7" borderId="0" xfId="0" applyFont="1" applyFill="1" applyProtection="1">
      <protection locked="0"/>
    </xf>
    <xf numFmtId="164" fontId="26" fillId="0" borderId="0" xfId="5" applyNumberFormat="1" applyFont="1" applyProtection="1">
      <protection locked="0"/>
    </xf>
    <xf numFmtId="49" fontId="40" fillId="0" borderId="0" xfId="0" quotePrefix="1" applyNumberFormat="1" applyFont="1" applyAlignment="1" applyProtection="1">
      <alignment horizontal="left"/>
      <protection locked="0"/>
    </xf>
    <xf numFmtId="49" fontId="40" fillId="0" borderId="0" xfId="0" applyNumberFormat="1" applyFont="1" applyProtection="1">
      <protection locked="0"/>
    </xf>
    <xf numFmtId="164" fontId="93" fillId="0" borderId="2" xfId="5" applyNumberFormat="1" applyFont="1" applyBorder="1" applyAlignment="1" applyProtection="1">
      <alignment horizontal="center"/>
      <protection locked="0"/>
    </xf>
    <xf numFmtId="164" fontId="93" fillId="0" borderId="2" xfId="5" quotePrefix="1" applyNumberFormat="1" applyFont="1" applyBorder="1" applyAlignment="1" applyProtection="1">
      <alignment horizontal="center"/>
      <protection locked="0"/>
    </xf>
    <xf numFmtId="43" fontId="93" fillId="0" borderId="2" xfId="5" quotePrefix="1" applyFont="1" applyBorder="1" applyAlignment="1" applyProtection="1">
      <alignment horizontal="center"/>
      <protection locked="0"/>
    </xf>
    <xf numFmtId="0" fontId="31" fillId="0" borderId="0" xfId="0" applyFont="1" applyProtection="1">
      <protection locked="0"/>
    </xf>
    <xf numFmtId="49" fontId="65" fillId="0" borderId="0" xfId="0" applyNumberFormat="1" applyFont="1" applyAlignment="1" applyProtection="1">
      <alignment horizontal="left"/>
      <protection locked="0"/>
    </xf>
    <xf numFmtId="164" fontId="94" fillId="0" borderId="0" xfId="5" applyNumberFormat="1" applyFont="1" applyProtection="1">
      <protection locked="0"/>
    </xf>
    <xf numFmtId="164" fontId="73" fillId="0" borderId="0" xfId="5" applyNumberFormat="1" applyFont="1" applyProtection="1">
      <protection locked="0"/>
    </xf>
    <xf numFmtId="164" fontId="1" fillId="0" borderId="0" xfId="5" applyNumberFormat="1" applyFont="1" applyProtection="1">
      <protection locked="0"/>
    </xf>
    <xf numFmtId="43" fontId="31" fillId="0" borderId="0" xfId="5" applyFont="1" applyProtection="1">
      <protection locked="0"/>
    </xf>
    <xf numFmtId="49" fontId="65" fillId="0" borderId="0" xfId="0" applyNumberFormat="1" applyFont="1" applyAlignment="1" applyProtection="1">
      <alignment horizontal="left" indent="1"/>
      <protection locked="0"/>
    </xf>
    <xf numFmtId="164" fontId="94" fillId="0" borderId="26" xfId="5" applyNumberFormat="1" applyFont="1" applyBorder="1" applyProtection="1">
      <protection locked="0"/>
    </xf>
    <xf numFmtId="0" fontId="37" fillId="0" borderId="0" xfId="0" applyFont="1" applyProtection="1">
      <protection locked="0"/>
    </xf>
    <xf numFmtId="164" fontId="73" fillId="0" borderId="28" xfId="5" applyNumberFormat="1" applyFont="1" applyBorder="1" applyProtection="1">
      <protection locked="0"/>
    </xf>
    <xf numFmtId="164" fontId="31" fillId="0" borderId="28" xfId="5" applyNumberFormat="1" applyFont="1" applyBorder="1" applyProtection="1">
      <protection locked="0"/>
    </xf>
    <xf numFmtId="0" fontId="35" fillId="0" borderId="0" xfId="0" applyFont="1" applyProtection="1">
      <protection locked="0"/>
    </xf>
    <xf numFmtId="0" fontId="91" fillId="18" borderId="33" xfId="0" applyFont="1" applyFill="1" applyBorder="1" applyAlignment="1" applyProtection="1">
      <alignment horizontal="right"/>
      <protection locked="0"/>
    </xf>
    <xf numFmtId="0" fontId="91" fillId="18" borderId="34" xfId="0" applyFont="1" applyFill="1" applyBorder="1" applyAlignment="1" applyProtection="1">
      <alignment horizontal="right"/>
      <protection locked="0"/>
    </xf>
    <xf numFmtId="164" fontId="92" fillId="19" borderId="35" xfId="5" applyNumberFormat="1" applyFont="1" applyFill="1" applyBorder="1" applyAlignment="1" applyProtection="1">
      <protection locked="0"/>
    </xf>
    <xf numFmtId="164" fontId="92" fillId="19" borderId="0" xfId="5" applyNumberFormat="1" applyFont="1" applyFill="1" applyBorder="1" applyAlignment="1" applyProtection="1">
      <protection locked="0"/>
    </xf>
    <xf numFmtId="164" fontId="92" fillId="20" borderId="36" xfId="5" applyNumberFormat="1" applyFont="1" applyFill="1" applyBorder="1" applyAlignment="1" applyProtection="1">
      <protection locked="0"/>
    </xf>
    <xf numFmtId="164" fontId="92" fillId="20" borderId="37" xfId="5" applyNumberFormat="1" applyFont="1" applyFill="1" applyBorder="1" applyAlignment="1" applyProtection="1">
      <protection locked="0"/>
    </xf>
    <xf numFmtId="0" fontId="1" fillId="7" borderId="0" xfId="0" applyFont="1" applyFill="1" applyProtection="1">
      <protection locked="0"/>
    </xf>
    <xf numFmtId="0" fontId="1" fillId="0" borderId="0" xfId="0" quotePrefix="1" applyFont="1" applyAlignment="1" applyProtection="1">
      <alignment horizontal="left"/>
      <protection locked="0"/>
    </xf>
    <xf numFmtId="0" fontId="26" fillId="0" borderId="0" xfId="0" applyFont="1" applyProtection="1">
      <protection locked="0"/>
    </xf>
    <xf numFmtId="0" fontId="90" fillId="0" borderId="0" xfId="11" applyFont="1" applyAlignment="1" applyProtection="1">
      <protection locked="0"/>
    </xf>
    <xf numFmtId="0" fontId="21" fillId="0" borderId="0" xfId="0" applyFont="1" applyProtection="1">
      <protection locked="0"/>
    </xf>
    <xf numFmtId="0" fontId="26" fillId="0" borderId="0" xfId="0" quotePrefix="1" applyFont="1" applyAlignment="1" applyProtection="1">
      <alignment horizontal="left"/>
      <protection locked="0"/>
    </xf>
    <xf numFmtId="164" fontId="1" fillId="7" borderId="0" xfId="5" applyNumberFormat="1" applyFont="1" applyFill="1" applyProtection="1">
      <protection locked="0"/>
    </xf>
    <xf numFmtId="0" fontId="0" fillId="0" borderId="0" xfId="0" pivotButton="1" applyProtection="1">
      <protection locked="0"/>
    </xf>
    <xf numFmtId="0" fontId="0" fillId="0" borderId="0" xfId="0" applyAlignment="1" applyProtection="1">
      <alignment horizontal="left"/>
      <protection locked="0"/>
    </xf>
    <xf numFmtId="164" fontId="0" fillId="0" borderId="0" xfId="0" applyNumberFormat="1" applyProtection="1">
      <protection locked="0"/>
    </xf>
    <xf numFmtId="0" fontId="36" fillId="0" borderId="24" xfId="0" applyFont="1" applyBorder="1" applyAlignment="1" applyProtection="1">
      <alignment horizontal="center"/>
      <protection locked="0"/>
    </xf>
    <xf numFmtId="168" fontId="36" fillId="0" borderId="24" xfId="5" applyNumberFormat="1" applyFont="1" applyBorder="1" applyAlignment="1" applyProtection="1">
      <alignment horizontal="center"/>
      <protection locked="0"/>
    </xf>
    <xf numFmtId="164" fontId="36" fillId="0" borderId="24" xfId="5" applyNumberFormat="1" applyFont="1" applyBorder="1" applyAlignment="1" applyProtection="1">
      <alignment horizontal="center"/>
      <protection locked="0"/>
    </xf>
    <xf numFmtId="164" fontId="36" fillId="0" borderId="24" xfId="5" quotePrefix="1" applyNumberFormat="1" applyFont="1" applyBorder="1" applyAlignment="1" applyProtection="1">
      <alignment horizontal="center"/>
      <protection locked="0"/>
    </xf>
    <xf numFmtId="0" fontId="36" fillId="0" borderId="0" xfId="0" applyFont="1" applyProtection="1">
      <protection locked="0"/>
    </xf>
    <xf numFmtId="0" fontId="36" fillId="0" borderId="0" xfId="0" applyFont="1" applyAlignment="1" applyProtection="1">
      <alignment horizontal="left"/>
      <protection locked="0"/>
    </xf>
    <xf numFmtId="168" fontId="36" fillId="0" borderId="0" xfId="5" applyNumberFormat="1" applyFont="1" applyProtection="1">
      <protection locked="0"/>
    </xf>
    <xf numFmtId="164" fontId="36" fillId="0" borderId="0" xfId="5" applyNumberFormat="1" applyFont="1" applyProtection="1">
      <protection locked="0"/>
    </xf>
    <xf numFmtId="0" fontId="36" fillId="0" borderId="0" xfId="0" quotePrefix="1" applyFont="1" applyAlignment="1" applyProtection="1">
      <alignment horizontal="left"/>
      <protection locked="0"/>
    </xf>
    <xf numFmtId="0" fontId="1" fillId="12" borderId="2" xfId="0" applyFont="1" applyFill="1" applyBorder="1" applyProtection="1">
      <protection locked="0"/>
    </xf>
    <xf numFmtId="0" fontId="69" fillId="12" borderId="2" xfId="0" applyFont="1" applyFill="1" applyBorder="1" applyProtection="1">
      <protection locked="0"/>
    </xf>
    <xf numFmtId="0" fontId="66" fillId="0" borderId="0" xfId="0" applyFont="1" applyProtection="1">
      <protection locked="0"/>
    </xf>
    <xf numFmtId="14" fontId="81" fillId="0" borderId="0" xfId="0" applyNumberFormat="1" applyFont="1" applyProtection="1">
      <protection locked="0"/>
    </xf>
    <xf numFmtId="164" fontId="81" fillId="0" borderId="2" xfId="5" applyNumberFormat="1" applyFont="1" applyBorder="1" applyProtection="1">
      <protection locked="0"/>
    </xf>
    <xf numFmtId="164" fontId="81" fillId="0" borderId="0" xfId="5" quotePrefix="1" applyNumberFormat="1" applyFont="1" applyAlignment="1" applyProtection="1">
      <alignment horizontal="left"/>
      <protection locked="0"/>
    </xf>
    <xf numFmtId="0" fontId="86" fillId="6" borderId="0" xfId="0" applyFont="1" applyFill="1" applyAlignment="1" applyProtection="1">
      <alignment horizontal="center" wrapText="1"/>
      <protection locked="0"/>
    </xf>
    <xf numFmtId="0" fontId="81" fillId="0" borderId="0" xfId="0" applyFont="1" applyProtection="1">
      <protection locked="0"/>
    </xf>
    <xf numFmtId="8" fontId="81" fillId="0" borderId="0" xfId="0" applyNumberFormat="1" applyFont="1" applyFill="1" applyBorder="1" applyProtection="1">
      <protection locked="0"/>
    </xf>
    <xf numFmtId="0" fontId="70" fillId="14" borderId="2" xfId="0" applyFont="1" applyFill="1" applyBorder="1" applyAlignment="1" applyProtection="1">
      <alignment horizontal="left" vertical="top" wrapText="1" indent="1"/>
      <protection locked="0"/>
    </xf>
    <xf numFmtId="0" fontId="70" fillId="14" borderId="2" xfId="0" applyFont="1" applyFill="1" applyBorder="1" applyAlignment="1" applyProtection="1">
      <alignment vertical="top" wrapText="1" indent="1"/>
      <protection locked="0"/>
    </xf>
    <xf numFmtId="0" fontId="70" fillId="17" borderId="2" xfId="0" applyFont="1" applyFill="1" applyBorder="1" applyAlignment="1" applyProtection="1">
      <alignment horizontal="left" vertical="top" wrapText="1" indent="1"/>
      <protection locked="0"/>
    </xf>
    <xf numFmtId="0" fontId="70" fillId="17" borderId="2" xfId="0" applyFont="1" applyFill="1" applyBorder="1" applyAlignment="1" applyProtection="1">
      <alignment vertical="top" wrapText="1" indent="1"/>
      <protection locked="0"/>
    </xf>
    <xf numFmtId="0" fontId="81" fillId="7" borderId="2" xfId="0" applyFont="1" applyFill="1" applyBorder="1" applyProtection="1">
      <protection locked="0"/>
    </xf>
    <xf numFmtId="0" fontId="1" fillId="0" borderId="2" xfId="0" applyFont="1" applyBorder="1" applyProtection="1">
      <protection locked="0"/>
    </xf>
    <xf numFmtId="0" fontId="44" fillId="0" borderId="0" xfId="0" applyFont="1" applyAlignment="1" applyProtection="1">
      <alignment horizontal="left"/>
      <protection locked="0"/>
    </xf>
    <xf numFmtId="0" fontId="43" fillId="0" borderId="0" xfId="0" applyFont="1" applyProtection="1">
      <protection locked="0"/>
    </xf>
    <xf numFmtId="0" fontId="50" fillId="0" borderId="0" xfId="0" applyFont="1" applyProtection="1">
      <protection locked="0"/>
    </xf>
    <xf numFmtId="0" fontId="62" fillId="0" borderId="0" xfId="0" applyFont="1" applyAlignment="1" applyProtection="1">
      <alignment horizontal="left"/>
      <protection locked="0"/>
    </xf>
    <xf numFmtId="164" fontId="43" fillId="0" borderId="0" xfId="5" applyNumberFormat="1" applyFont="1" applyProtection="1">
      <protection locked="0"/>
    </xf>
    <xf numFmtId="0" fontId="88" fillId="0" borderId="0" xfId="0" applyFont="1" applyProtection="1">
      <protection locked="0"/>
    </xf>
    <xf numFmtId="0" fontId="87" fillId="0" borderId="0" xfId="0" applyFont="1" applyAlignment="1" applyProtection="1">
      <alignment vertical="top" wrapText="1"/>
      <protection locked="0"/>
    </xf>
    <xf numFmtId="0" fontId="87" fillId="0" borderId="0" xfId="0" applyFont="1" applyAlignment="1" applyProtection="1">
      <alignment horizontal="left" vertical="top"/>
      <protection locked="0"/>
    </xf>
    <xf numFmtId="0" fontId="62" fillId="12" borderId="2" xfId="0" applyFont="1" applyFill="1" applyBorder="1" applyAlignment="1" applyProtection="1">
      <alignment horizontal="left"/>
      <protection locked="0"/>
    </xf>
    <xf numFmtId="0" fontId="87" fillId="0" borderId="0" xfId="0" applyFont="1" applyAlignment="1" applyProtection="1">
      <alignment horizontal="left" vertical="top" wrapText="1"/>
      <protection locked="0"/>
    </xf>
    <xf numFmtId="0" fontId="87" fillId="0" borderId="0" xfId="0" quotePrefix="1" applyFont="1" applyAlignment="1" applyProtection="1">
      <alignment horizontal="left" vertical="top"/>
      <protection locked="0"/>
    </xf>
    <xf numFmtId="0" fontId="70" fillId="0" borderId="0" xfId="0" applyFont="1" applyAlignment="1" applyProtection="1">
      <alignment horizontal="left" vertical="top"/>
      <protection locked="0"/>
    </xf>
    <xf numFmtId="14" fontId="85" fillId="12" borderId="2" xfId="0" applyNumberFormat="1" applyFont="1" applyFill="1" applyBorder="1" applyAlignment="1" applyProtection="1">
      <alignment horizontal="left"/>
      <protection locked="0"/>
    </xf>
    <xf numFmtId="0" fontId="62" fillId="0" borderId="2" xfId="0" applyFont="1" applyBorder="1" applyAlignment="1" applyProtection="1">
      <alignment wrapText="1"/>
      <protection locked="0"/>
    </xf>
    <xf numFmtId="164" fontId="1" fillId="0" borderId="0" xfId="5" applyNumberFormat="1" applyFont="1" applyAlignment="1" applyProtection="1">
      <alignment horizontal="center"/>
      <protection locked="0"/>
    </xf>
    <xf numFmtId="0" fontId="26" fillId="17" borderId="0" xfId="0" applyFont="1" applyFill="1" applyAlignment="1" applyProtection="1">
      <alignment vertical="top"/>
      <protection locked="0"/>
    </xf>
    <xf numFmtId="14" fontId="26" fillId="17" borderId="2" xfId="0" applyNumberFormat="1" applyFont="1" applyFill="1" applyBorder="1" applyAlignment="1" applyProtection="1">
      <alignment vertical="top"/>
      <protection locked="0"/>
    </xf>
    <xf numFmtId="0" fontId="26" fillId="14" borderId="0" xfId="0" applyFont="1" applyFill="1" applyAlignment="1" applyProtection="1">
      <alignment vertical="top"/>
      <protection locked="0"/>
    </xf>
    <xf numFmtId="14" fontId="26" fillId="14" borderId="2" xfId="0" applyNumberFormat="1" applyFont="1" applyFill="1" applyBorder="1" applyAlignment="1" applyProtection="1">
      <alignment vertical="top"/>
      <protection locked="0"/>
    </xf>
    <xf numFmtId="10" fontId="26" fillId="17" borderId="2" xfId="0" applyNumberFormat="1" applyFont="1" applyFill="1" applyBorder="1" applyAlignment="1" applyProtection="1">
      <alignment vertical="top"/>
      <protection locked="0"/>
    </xf>
    <xf numFmtId="44" fontId="26" fillId="14" borderId="2" xfId="12" applyFont="1" applyFill="1" applyBorder="1" applyAlignment="1" applyProtection="1">
      <alignment vertical="top"/>
      <protection locked="0"/>
    </xf>
    <xf numFmtId="6" fontId="26" fillId="17" borderId="2" xfId="0" applyNumberFormat="1" applyFont="1" applyFill="1" applyBorder="1" applyAlignment="1" applyProtection="1">
      <alignment vertical="top"/>
      <protection locked="0"/>
    </xf>
    <xf numFmtId="0" fontId="26" fillId="14" borderId="0" xfId="0" quotePrefix="1" applyFont="1" applyFill="1" applyAlignment="1" applyProtection="1">
      <alignment horizontal="left" vertical="top"/>
      <protection locked="0"/>
    </xf>
    <xf numFmtId="0" fontId="26" fillId="14" borderId="2" xfId="0" applyFont="1" applyFill="1" applyBorder="1" applyAlignment="1" applyProtection="1">
      <alignment vertical="top"/>
      <protection locked="0"/>
    </xf>
    <xf numFmtId="0" fontId="26" fillId="17" borderId="0" xfId="0" quotePrefix="1" applyFont="1" applyFill="1" applyAlignment="1" applyProtection="1">
      <alignment horizontal="left" vertical="top"/>
      <protection locked="0"/>
    </xf>
    <xf numFmtId="0" fontId="26" fillId="17" borderId="2" xfId="0" applyFont="1" applyFill="1" applyBorder="1" applyAlignment="1" applyProtection="1">
      <alignment vertical="top"/>
      <protection locked="0"/>
    </xf>
    <xf numFmtId="10" fontId="26" fillId="7" borderId="2" xfId="9" applyNumberFormat="1" applyFont="1" applyFill="1" applyBorder="1" applyProtection="1">
      <protection locked="0"/>
    </xf>
    <xf numFmtId="164" fontId="26" fillId="0" borderId="0" xfId="5" applyNumberFormat="1" applyFont="1" applyAlignment="1" applyProtection="1">
      <alignment horizontal="left"/>
      <protection locked="0"/>
    </xf>
    <xf numFmtId="0" fontId="37" fillId="0" borderId="0" xfId="0" applyFont="1" applyAlignment="1" applyProtection="1">
      <alignment wrapText="1"/>
      <protection locked="0"/>
    </xf>
    <xf numFmtId="0" fontId="1" fillId="0" borderId="0" xfId="0" applyFont="1" applyAlignment="1" applyProtection="1">
      <alignment wrapText="1"/>
      <protection locked="0"/>
    </xf>
    <xf numFmtId="14" fontId="26" fillId="0" borderId="24" xfId="0" quotePrefix="1" applyNumberFormat="1" applyFont="1" applyBorder="1" applyAlignment="1" applyProtection="1">
      <alignment horizontal="center" wrapText="1"/>
      <protection locked="0"/>
    </xf>
    <xf numFmtId="0" fontId="26" fillId="0" borderId="24" xfId="0" quotePrefix="1" applyFont="1" applyBorder="1" applyAlignment="1" applyProtection="1">
      <alignment horizontal="center"/>
      <protection locked="0"/>
    </xf>
    <xf numFmtId="0" fontId="1" fillId="17" borderId="0" xfId="0" applyFont="1" applyFill="1" applyAlignment="1" applyProtection="1">
      <alignment horizontal="left" vertical="top"/>
      <protection locked="0"/>
    </xf>
    <xf numFmtId="3" fontId="1" fillId="17" borderId="0" xfId="0" applyNumberFormat="1" applyFont="1" applyFill="1" applyAlignment="1" applyProtection="1">
      <alignment vertical="top" wrapText="1" indent="1"/>
      <protection locked="0"/>
    </xf>
    <xf numFmtId="0" fontId="1" fillId="0" borderId="0" xfId="0" applyFont="1" applyAlignment="1" applyProtection="1">
      <alignment horizontal="center"/>
      <protection locked="0"/>
    </xf>
    <xf numFmtId="0" fontId="1" fillId="14" borderId="0" xfId="0" applyFont="1" applyFill="1" applyAlignment="1" applyProtection="1">
      <alignment horizontal="left" vertical="top"/>
      <protection locked="0"/>
    </xf>
    <xf numFmtId="3" fontId="1" fillId="14" borderId="0" xfId="0" applyNumberFormat="1" applyFont="1" applyFill="1" applyAlignment="1" applyProtection="1">
      <alignment vertical="top" wrapText="1" indent="1"/>
      <protection locked="0"/>
    </xf>
    <xf numFmtId="9" fontId="1" fillId="0" borderId="0" xfId="0" applyNumberFormat="1" applyFont="1" applyAlignment="1" applyProtection="1">
      <alignment horizontal="center"/>
      <protection locked="0"/>
    </xf>
    <xf numFmtId="9" fontId="1" fillId="7" borderId="0" xfId="0" applyNumberFormat="1" applyFont="1" applyFill="1" applyProtection="1">
      <protection locked="0"/>
    </xf>
    <xf numFmtId="0" fontId="1" fillId="14" borderId="0" xfId="0" quotePrefix="1" applyFont="1" applyFill="1" applyAlignment="1" applyProtection="1">
      <alignment horizontal="left" vertical="top"/>
      <protection locked="0"/>
    </xf>
    <xf numFmtId="9" fontId="1" fillId="14" borderId="0" xfId="0" applyNumberFormat="1" applyFont="1" applyFill="1" applyAlignment="1" applyProtection="1">
      <alignment vertical="top" wrapText="1" indent="1"/>
      <protection locked="0"/>
    </xf>
    <xf numFmtId="164" fontId="26" fillId="0" borderId="0" xfId="5" applyNumberFormat="1" applyFont="1" applyAlignment="1" applyProtection="1">
      <alignment horizontal="center"/>
      <protection locked="0"/>
    </xf>
    <xf numFmtId="164" fontId="26" fillId="7" borderId="2" xfId="5" applyNumberFormat="1" applyFont="1" applyFill="1" applyBorder="1" applyAlignment="1" applyProtection="1">
      <alignment horizontal="center"/>
      <protection locked="0"/>
    </xf>
    <xf numFmtId="0" fontId="26" fillId="0" borderId="0" xfId="0" applyFont="1" applyAlignment="1" applyProtection="1">
      <alignment horizontal="left"/>
      <protection locked="0"/>
    </xf>
    <xf numFmtId="164" fontId="26" fillId="7" borderId="2" xfId="5" applyNumberFormat="1" applyFont="1" applyFill="1" applyBorder="1" applyProtection="1">
      <protection locked="0"/>
    </xf>
    <xf numFmtId="14" fontId="1" fillId="0" borderId="0" xfId="0" applyNumberFormat="1" applyFont="1" applyProtection="1">
      <protection locked="0"/>
    </xf>
    <xf numFmtId="0" fontId="26" fillId="0" borderId="24" xfId="0" applyFont="1" applyBorder="1" applyAlignment="1" applyProtection="1">
      <alignment horizontal="center" wrapText="1"/>
      <protection locked="0"/>
    </xf>
    <xf numFmtId="0" fontId="26" fillId="0" borderId="24" xfId="0" quotePrefix="1" applyFont="1" applyBorder="1" applyAlignment="1" applyProtection="1">
      <alignment horizontal="center" wrapText="1"/>
      <protection locked="0"/>
    </xf>
    <xf numFmtId="0" fontId="26" fillId="0" borderId="24" xfId="0" applyFont="1" applyBorder="1" applyAlignment="1" applyProtection="1">
      <alignment horizontal="center"/>
      <protection locked="0"/>
    </xf>
    <xf numFmtId="169" fontId="1" fillId="0" borderId="0" xfId="0" applyNumberFormat="1" applyFont="1" applyProtection="1">
      <protection locked="0"/>
    </xf>
    <xf numFmtId="18" fontId="1" fillId="7" borderId="0" xfId="0" applyNumberFormat="1" applyFont="1" applyFill="1" applyAlignment="1" applyProtection="1">
      <alignment horizontal="center"/>
      <protection locked="0"/>
    </xf>
    <xf numFmtId="0" fontId="1" fillId="0" borderId="12" xfId="0" applyFont="1" applyBorder="1" applyProtection="1">
      <protection locked="0"/>
    </xf>
    <xf numFmtId="169" fontId="1" fillId="0" borderId="12" xfId="0" applyNumberFormat="1" applyFont="1" applyBorder="1" applyProtection="1">
      <protection locked="0"/>
    </xf>
    <xf numFmtId="18" fontId="1" fillId="7" borderId="12" xfId="0" applyNumberFormat="1" applyFont="1" applyFill="1" applyBorder="1" applyAlignment="1" applyProtection="1">
      <alignment horizontal="center"/>
      <protection locked="0"/>
    </xf>
    <xf numFmtId="20" fontId="1" fillId="0" borderId="0" xfId="0" applyNumberFormat="1" applyFont="1" applyProtection="1">
      <protection locked="0"/>
    </xf>
    <xf numFmtId="0" fontId="23" fillId="0" borderId="0" xfId="0" applyFont="1" applyAlignment="1" applyProtection="1">
      <alignment horizontal="center"/>
      <protection locked="0"/>
    </xf>
    <xf numFmtId="0" fontId="32" fillId="0" borderId="0" xfId="0" applyFont="1" applyAlignment="1" applyProtection="1">
      <alignment horizontal="center"/>
      <protection locked="0"/>
    </xf>
    <xf numFmtId="0" fontId="26" fillId="0" borderId="2" xfId="0" applyFont="1" applyBorder="1" applyAlignment="1" applyProtection="1">
      <alignment horizontal="center" wrapText="1"/>
      <protection locked="0"/>
    </xf>
    <xf numFmtId="0" fontId="63" fillId="0" borderId="0" xfId="0" applyFont="1" applyBorder="1" applyProtection="1">
      <protection locked="0"/>
    </xf>
    <xf numFmtId="0" fontId="63" fillId="0" borderId="0" xfId="0" applyFont="1" applyBorder="1" applyAlignment="1" applyProtection="1">
      <alignment horizontal="left"/>
      <protection locked="0"/>
    </xf>
    <xf numFmtId="0" fontId="1" fillId="0" borderId="0" xfId="0" applyFont="1" applyFill="1" applyBorder="1" applyProtection="1">
      <protection locked="0"/>
    </xf>
    <xf numFmtId="0" fontId="1" fillId="0" borderId="23" xfId="0" applyFont="1" applyBorder="1" applyProtection="1">
      <protection locked="0"/>
    </xf>
    <xf numFmtId="0" fontId="26" fillId="0" borderId="2" xfId="0" applyFont="1" applyBorder="1" applyProtection="1">
      <protection locked="0"/>
    </xf>
    <xf numFmtId="164" fontId="84" fillId="7" borderId="0" xfId="5" applyNumberFormat="1" applyFont="1" applyFill="1" applyAlignment="1" applyProtection="1">
      <alignment horizontal="center"/>
      <protection locked="0"/>
    </xf>
    <xf numFmtId="0" fontId="26" fillId="0" borderId="2" xfId="0" quotePrefix="1" applyFont="1" applyBorder="1" applyAlignment="1" applyProtection="1">
      <alignment horizontal="left"/>
      <protection locked="0"/>
    </xf>
    <xf numFmtId="44" fontId="84" fillId="11" borderId="0" xfId="12" applyFont="1" applyFill="1" applyProtection="1">
      <protection locked="0"/>
    </xf>
    <xf numFmtId="164" fontId="84" fillId="11" borderId="0" xfId="5" applyNumberFormat="1" applyFont="1" applyFill="1" applyProtection="1">
      <protection locked="0"/>
    </xf>
    <xf numFmtId="0" fontId="81" fillId="16" borderId="16" xfId="0" applyFont="1" applyFill="1" applyBorder="1" applyAlignment="1" applyProtection="1">
      <alignment horizontal="centerContinuous"/>
      <protection locked="0"/>
    </xf>
    <xf numFmtId="44" fontId="84" fillId="7" borderId="0" xfId="12" applyFont="1" applyFill="1" applyProtection="1">
      <protection locked="0"/>
    </xf>
    <xf numFmtId="164" fontId="84" fillId="7" borderId="0" xfId="5" applyNumberFormat="1" applyFont="1" applyFill="1" applyProtection="1">
      <protection locked="0"/>
    </xf>
    <xf numFmtId="8" fontId="26" fillId="7" borderId="2" xfId="0" applyNumberFormat="1" applyFont="1" applyFill="1" applyBorder="1" applyProtection="1">
      <protection locked="0"/>
    </xf>
    <xf numFmtId="0" fontId="26" fillId="0" borderId="24" xfId="0" applyFont="1" applyBorder="1" applyProtection="1">
      <protection locked="0"/>
    </xf>
    <xf numFmtId="164" fontId="26" fillId="0" borderId="24" xfId="5" applyNumberFormat="1" applyFont="1" applyBorder="1" applyProtection="1">
      <protection locked="0"/>
    </xf>
    <xf numFmtId="164" fontId="1" fillId="0" borderId="23" xfId="5" applyNumberFormat="1" applyFont="1" applyBorder="1" applyProtection="1">
      <protection locked="0"/>
    </xf>
    <xf numFmtId="0" fontId="26" fillId="7" borderId="2" xfId="0" applyFont="1" applyFill="1" applyBorder="1" applyProtection="1">
      <protection locked="0"/>
    </xf>
    <xf numFmtId="164" fontId="1" fillId="0" borderId="0" xfId="0" applyNumberFormat="1" applyFont="1" applyProtection="1">
      <protection locked="0"/>
    </xf>
    <xf numFmtId="0" fontId="26" fillId="0" borderId="0" xfId="0" applyFont="1" applyBorder="1" applyAlignment="1" applyProtection="1">
      <alignment horizontal="center" wrapText="1"/>
      <protection locked="0"/>
    </xf>
    <xf numFmtId="9" fontId="1" fillId="0" borderId="0" xfId="9" applyFont="1" applyAlignment="1" applyProtection="1">
      <alignment horizontal="center"/>
      <protection locked="0"/>
    </xf>
    <xf numFmtId="168" fontId="1" fillId="7" borderId="0" xfId="5" applyNumberFormat="1" applyFont="1" applyFill="1" applyProtection="1">
      <protection locked="0"/>
    </xf>
    <xf numFmtId="0" fontId="43" fillId="0" borderId="0" xfId="0" applyFont="1" applyAlignment="1" applyProtection="1">
      <alignment horizontal="left"/>
      <protection locked="0"/>
    </xf>
    <xf numFmtId="0" fontId="26" fillId="7" borderId="0" xfId="0" quotePrefix="1" applyFont="1" applyFill="1" applyAlignment="1" applyProtection="1">
      <alignment horizontal="left"/>
      <protection locked="0"/>
    </xf>
    <xf numFmtId="0" fontId="0" fillId="7" borderId="0" xfId="0" applyFill="1" applyProtection="1">
      <protection locked="0"/>
    </xf>
    <xf numFmtId="164" fontId="83" fillId="7" borderId="0" xfId="0" applyNumberFormat="1" applyFont="1" applyFill="1" applyAlignment="1" applyProtection="1">
      <alignment horizontal="center"/>
      <protection locked="0"/>
    </xf>
    <xf numFmtId="167" fontId="83" fillId="7" borderId="0" xfId="9" applyNumberFormat="1" applyFont="1" applyFill="1" applyAlignment="1" applyProtection="1">
      <alignment horizontal="center"/>
      <protection locked="0"/>
    </xf>
    <xf numFmtId="0" fontId="26" fillId="11" borderId="0" xfId="0" applyFont="1" applyFill="1" applyProtection="1">
      <protection locked="0"/>
    </xf>
    <xf numFmtId="0" fontId="0" fillId="11" borderId="0" xfId="0" applyFill="1" applyProtection="1">
      <protection locked="0"/>
    </xf>
    <xf numFmtId="164" fontId="83" fillId="11" borderId="0" xfId="0" applyNumberFormat="1" applyFont="1" applyFill="1" applyAlignment="1" applyProtection="1">
      <alignment horizontal="center"/>
      <protection locked="0"/>
    </xf>
    <xf numFmtId="167" fontId="83" fillId="11" borderId="0" xfId="9" applyNumberFormat="1" applyFont="1" applyFill="1" applyAlignment="1" applyProtection="1">
      <alignment horizontal="center"/>
      <protection locked="0"/>
    </xf>
    <xf numFmtId="164" fontId="83" fillId="0" borderId="0" xfId="0" applyNumberFormat="1" applyFont="1" applyAlignment="1" applyProtection="1">
      <alignment horizontal="center"/>
      <protection locked="0"/>
    </xf>
    <xf numFmtId="167" fontId="83" fillId="0" borderId="0" xfId="9" applyNumberFormat="1" applyFont="1" applyAlignment="1" applyProtection="1">
      <alignment horizontal="center"/>
      <protection locked="0"/>
    </xf>
    <xf numFmtId="0" fontId="26" fillId="11" borderId="0" xfId="0" quotePrefix="1" applyFont="1" applyFill="1" applyAlignment="1" applyProtection="1">
      <alignment horizontal="left"/>
      <protection locked="0"/>
    </xf>
    <xf numFmtId="0" fontId="36" fillId="0" borderId="20" xfId="0" applyFont="1" applyBorder="1" applyAlignment="1" applyProtection="1">
      <alignment horizontal="left"/>
      <protection locked="0"/>
    </xf>
    <xf numFmtId="164" fontId="36" fillId="0" borderId="20" xfId="5" applyNumberFormat="1" applyFont="1" applyBorder="1" applyAlignment="1" applyProtection="1">
      <alignment horizontal="left"/>
      <protection locked="0"/>
    </xf>
    <xf numFmtId="164" fontId="36" fillId="0" borderId="20" xfId="5" applyNumberFormat="1" applyFont="1" applyBorder="1" applyAlignment="1" applyProtection="1">
      <alignment horizontal="center"/>
      <protection locked="0"/>
    </xf>
    <xf numFmtId="167" fontId="36" fillId="0" borderId="20" xfId="9" quotePrefix="1" applyNumberFormat="1" applyFont="1" applyBorder="1" applyAlignment="1" applyProtection="1">
      <alignment horizontal="center" wrapText="1"/>
      <protection locked="0"/>
    </xf>
    <xf numFmtId="164" fontId="37" fillId="0" borderId="0" xfId="5" applyNumberFormat="1" applyFont="1" applyProtection="1">
      <protection locked="0"/>
    </xf>
    <xf numFmtId="167" fontId="37" fillId="0" borderId="0" xfId="9" applyNumberFormat="1" applyFont="1" applyAlignment="1" applyProtection="1">
      <alignment horizontal="center"/>
      <protection locked="0"/>
    </xf>
    <xf numFmtId="0" fontId="37" fillId="0" borderId="0" xfId="0" applyFont="1" applyAlignment="1" applyProtection="1">
      <alignment horizontal="center"/>
      <protection locked="0"/>
    </xf>
    <xf numFmtId="167" fontId="37" fillId="0" borderId="0" xfId="9" applyNumberFormat="1" applyFont="1" applyBorder="1" applyAlignment="1" applyProtection="1">
      <alignment horizontal="center"/>
      <protection locked="0"/>
    </xf>
    <xf numFmtId="0" fontId="36" fillId="0" borderId="0" xfId="5" applyNumberFormat="1" applyFont="1" applyProtection="1">
      <protection locked="0"/>
    </xf>
    <xf numFmtId="0" fontId="36" fillId="0" borderId="0" xfId="9" applyNumberFormat="1" applyFont="1" applyAlignment="1" applyProtection="1">
      <alignment horizontal="center"/>
      <protection locked="0"/>
    </xf>
    <xf numFmtId="0" fontId="36" fillId="0" borderId="0" xfId="0" applyFont="1" applyAlignment="1" applyProtection="1">
      <alignment horizontal="center"/>
      <protection locked="0"/>
    </xf>
    <xf numFmtId="0" fontId="36" fillId="0" borderId="0" xfId="1" applyFont="1" applyProtection="1">
      <protection locked="0"/>
    </xf>
    <xf numFmtId="0" fontId="43" fillId="0" borderId="0" xfId="0" quotePrefix="1" applyFont="1" applyAlignment="1" applyProtection="1">
      <alignment horizontal="left"/>
      <protection locked="0"/>
    </xf>
    <xf numFmtId="0" fontId="42" fillId="7" borderId="2" xfId="0" applyFont="1" applyFill="1" applyBorder="1" applyProtection="1">
      <protection locked="0"/>
    </xf>
    <xf numFmtId="0" fontId="81" fillId="0" borderId="0" xfId="5" applyNumberFormat="1" applyFont="1" applyProtection="1">
      <protection locked="0"/>
    </xf>
    <xf numFmtId="0" fontId="81" fillId="0" borderId="0" xfId="9" applyNumberFormat="1" applyFont="1" applyAlignment="1" applyProtection="1">
      <alignment horizontal="center"/>
      <protection locked="0"/>
    </xf>
    <xf numFmtId="0" fontId="81" fillId="0" borderId="0" xfId="0" applyFont="1" applyAlignment="1" applyProtection="1">
      <alignment horizontal="center"/>
      <protection locked="0"/>
    </xf>
    <xf numFmtId="0" fontId="35" fillId="0" borderId="0" xfId="1" applyProtection="1">
      <protection locked="0"/>
    </xf>
    <xf numFmtId="0" fontId="44" fillId="0" borderId="0" xfId="0" quotePrefix="1" applyFont="1" applyAlignment="1" applyProtection="1">
      <alignment horizontal="left"/>
      <protection locked="0"/>
    </xf>
    <xf numFmtId="0" fontId="52" fillId="0" borderId="0" xfId="0" applyFont="1" applyProtection="1">
      <protection locked="0"/>
    </xf>
    <xf numFmtId="0" fontId="58" fillId="0" borderId="0" xfId="0" quotePrefix="1" applyFont="1" applyAlignment="1" applyProtection="1">
      <alignment horizontal="left"/>
      <protection locked="0"/>
    </xf>
    <xf numFmtId="0" fontId="52" fillId="11" borderId="0" xfId="0" applyFont="1" applyFill="1" applyProtection="1">
      <protection locked="0"/>
    </xf>
    <xf numFmtId="0" fontId="58" fillId="0" borderId="0" xfId="0" applyFont="1" applyProtection="1">
      <protection locked="0"/>
    </xf>
    <xf numFmtId="0" fontId="58" fillId="11" borderId="0" xfId="0" applyFont="1" applyFill="1" applyProtection="1">
      <protection locked="0"/>
    </xf>
    <xf numFmtId="0" fontId="52" fillId="7" borderId="0" xfId="0" applyFont="1" applyFill="1" applyProtection="1">
      <protection locked="0"/>
    </xf>
    <xf numFmtId="0" fontId="58" fillId="7" borderId="0" xfId="0" applyFont="1" applyFill="1" applyProtection="1">
      <protection locked="0"/>
    </xf>
    <xf numFmtId="42" fontId="0" fillId="0" borderId="0" xfId="0" applyNumberFormat="1" applyProtection="1">
      <protection locked="0"/>
    </xf>
    <xf numFmtId="0" fontId="46" fillId="0" borderId="0" xfId="0" applyFont="1" applyProtection="1">
      <protection locked="0"/>
    </xf>
    <xf numFmtId="0" fontId="45" fillId="0" borderId="0" xfId="0" applyFont="1" applyProtection="1">
      <protection locked="0"/>
    </xf>
    <xf numFmtId="42" fontId="46" fillId="0" borderId="0" xfId="0" applyNumberFormat="1" applyFont="1" applyProtection="1">
      <protection locked="0"/>
    </xf>
    <xf numFmtId="49" fontId="37" fillId="0" borderId="0" xfId="14" applyNumberFormat="1" applyFont="1" applyBorder="1" applyProtection="1">
      <protection locked="0"/>
    </xf>
    <xf numFmtId="49" fontId="36" fillId="0" borderId="0" xfId="14" applyNumberFormat="1" applyFont="1" applyBorder="1" applyProtection="1">
      <protection locked="0"/>
    </xf>
    <xf numFmtId="43" fontId="37" fillId="0" borderId="0" xfId="5" applyFont="1" applyBorder="1" applyProtection="1">
      <protection locked="0"/>
    </xf>
    <xf numFmtId="42" fontId="36" fillId="0" borderId="0" xfId="0" applyNumberFormat="1" applyFont="1" applyProtection="1">
      <protection locked="0"/>
    </xf>
    <xf numFmtId="49" fontId="65" fillId="0" borderId="0" xfId="15" applyNumberFormat="1" applyFont="1" applyBorder="1" applyAlignment="1" applyProtection="1">
      <alignment horizontal="left"/>
      <protection locked="0"/>
    </xf>
    <xf numFmtId="49" fontId="40" fillId="0" borderId="0" xfId="15" applyNumberFormat="1" applyFont="1" applyBorder="1" applyAlignment="1" applyProtection="1">
      <alignment horizontal="left"/>
      <protection locked="0"/>
    </xf>
    <xf numFmtId="0" fontId="40" fillId="0" borderId="17" xfId="5" applyNumberFormat="1" applyFont="1" applyBorder="1" applyAlignment="1" applyProtection="1">
      <alignment horizontal="center"/>
      <protection locked="0"/>
    </xf>
    <xf numFmtId="0" fontId="36" fillId="0" borderId="17" xfId="0" quotePrefix="1" applyFont="1" applyBorder="1" applyAlignment="1" applyProtection="1">
      <alignment horizontal="center" wrapText="1"/>
      <protection locked="0"/>
    </xf>
    <xf numFmtId="49" fontId="65" fillId="0" borderId="0" xfId="13" applyNumberFormat="1" applyFont="1" applyBorder="1" applyProtection="1">
      <protection locked="0"/>
    </xf>
    <xf numFmtId="49" fontId="40" fillId="0" borderId="0" xfId="13" applyNumberFormat="1" applyFont="1" applyBorder="1" applyProtection="1">
      <protection locked="0"/>
    </xf>
    <xf numFmtId="43" fontId="65" fillId="0" borderId="0" xfId="5" applyFont="1" applyBorder="1" applyProtection="1">
      <protection locked="0"/>
    </xf>
    <xf numFmtId="49" fontId="65" fillId="0" borderId="0" xfId="16" applyNumberFormat="1" applyFont="1" applyBorder="1" applyProtection="1">
      <protection locked="0"/>
    </xf>
    <xf numFmtId="49" fontId="40" fillId="0" borderId="0" xfId="16" applyNumberFormat="1" applyFont="1" applyBorder="1" applyProtection="1">
      <protection locked="0"/>
    </xf>
    <xf numFmtId="0" fontId="65" fillId="0" borderId="0" xfId="17" applyFont="1" applyBorder="1" applyProtection="1">
      <protection locked="0"/>
    </xf>
    <xf numFmtId="0" fontId="40" fillId="0" borderId="0" xfId="17" applyFont="1" applyBorder="1" applyProtection="1">
      <protection locked="0"/>
    </xf>
    <xf numFmtId="44" fontId="65" fillId="0" borderId="0" xfId="5" applyNumberFormat="1" applyFont="1" applyBorder="1" applyProtection="1">
      <protection locked="0"/>
    </xf>
    <xf numFmtId="42" fontId="65" fillId="0" borderId="0" xfId="5" applyNumberFormat="1" applyFont="1" applyBorder="1" applyProtection="1">
      <protection locked="0"/>
    </xf>
    <xf numFmtId="41" fontId="65" fillId="0" borderId="0" xfId="5" applyNumberFormat="1" applyFont="1" applyBorder="1" applyProtection="1">
      <protection locked="0"/>
    </xf>
    <xf numFmtId="43" fontId="79" fillId="0" borderId="0" xfId="5" applyFont="1" applyBorder="1" applyProtection="1">
      <protection locked="0"/>
    </xf>
    <xf numFmtId="41" fontId="79" fillId="0" borderId="0" xfId="5" applyNumberFormat="1" applyFont="1" applyBorder="1" applyProtection="1">
      <protection locked="0"/>
    </xf>
    <xf numFmtId="0" fontId="40" fillId="0" borderId="0" xfId="18" applyFont="1" applyFill="1" applyBorder="1" applyProtection="1">
      <protection locked="0"/>
    </xf>
    <xf numFmtId="0" fontId="65" fillId="0" borderId="0" xfId="18" applyFont="1" applyFill="1" applyBorder="1" applyProtection="1">
      <protection locked="0"/>
    </xf>
    <xf numFmtId="44" fontId="79" fillId="0" borderId="0" xfId="12" applyFont="1" applyFill="1" applyBorder="1" applyProtection="1">
      <protection locked="0"/>
    </xf>
    <xf numFmtId="42" fontId="79" fillId="0" borderId="0" xfId="12" applyNumberFormat="1" applyFont="1" applyFill="1" applyBorder="1" applyProtection="1">
      <protection locked="0"/>
    </xf>
    <xf numFmtId="41" fontId="79" fillId="0" borderId="0" xfId="12" applyNumberFormat="1" applyFont="1" applyFill="1" applyBorder="1" applyProtection="1">
      <protection locked="0"/>
    </xf>
    <xf numFmtId="43" fontId="79" fillId="0" borderId="0" xfId="5" applyFont="1" applyFill="1" applyBorder="1" applyProtection="1">
      <protection locked="0"/>
    </xf>
    <xf numFmtId="41" fontId="79" fillId="0" borderId="0" xfId="5" applyNumberFormat="1" applyFont="1" applyFill="1" applyBorder="1" applyProtection="1">
      <protection locked="0"/>
    </xf>
    <xf numFmtId="42" fontId="79" fillId="0" borderId="0" xfId="5" applyNumberFormat="1" applyFont="1" applyFill="1" applyBorder="1" applyProtection="1">
      <protection locked="0"/>
    </xf>
    <xf numFmtId="0" fontId="40" fillId="0" borderId="0" xfId="19" applyFont="1" applyFill="1" applyBorder="1" applyProtection="1">
      <protection locked="0"/>
    </xf>
    <xf numFmtId="0" fontId="65" fillId="0" borderId="0" xfId="19" applyFont="1" applyFill="1" applyBorder="1" applyProtection="1">
      <protection locked="0"/>
    </xf>
    <xf numFmtId="0" fontId="65" fillId="0" borderId="0" xfId="20" applyFont="1" applyFill="1" applyBorder="1" applyProtection="1">
      <protection locked="0"/>
    </xf>
    <xf numFmtId="0" fontId="40" fillId="0" borderId="0" xfId="20" applyFont="1" applyFill="1" applyBorder="1" applyProtection="1">
      <protection locked="0"/>
    </xf>
    <xf numFmtId="44" fontId="80" fillId="0" borderId="0" xfId="12" applyFont="1" applyFill="1" applyBorder="1" applyProtection="1">
      <protection locked="0"/>
    </xf>
    <xf numFmtId="42" fontId="80" fillId="0" borderId="0" xfId="12" applyNumberFormat="1" applyFont="1" applyFill="1" applyBorder="1" applyProtection="1">
      <protection locked="0"/>
    </xf>
    <xf numFmtId="42" fontId="35" fillId="0" borderId="0" xfId="0" applyNumberFormat="1" applyFont="1" applyProtection="1">
      <protection locked="0"/>
    </xf>
    <xf numFmtId="44" fontId="35" fillId="0" borderId="0" xfId="0" applyNumberFormat="1" applyFont="1" applyProtection="1">
      <protection locked="0"/>
    </xf>
    <xf numFmtId="0" fontId="51" fillId="0" borderId="0" xfId="0" applyFont="1" applyProtection="1">
      <protection locked="0"/>
    </xf>
    <xf numFmtId="42" fontId="51" fillId="0" borderId="0" xfId="0" applyNumberFormat="1" applyFont="1" applyProtection="1">
      <protection locked="0"/>
    </xf>
    <xf numFmtId="14" fontId="42" fillId="12" borderId="2" xfId="0" applyNumberFormat="1" applyFont="1" applyFill="1" applyBorder="1" applyProtection="1">
      <protection locked="0"/>
    </xf>
    <xf numFmtId="0" fontId="42" fillId="0" borderId="2" xfId="0" applyFont="1" applyBorder="1" applyProtection="1">
      <protection locked="0"/>
    </xf>
    <xf numFmtId="0" fontId="24" fillId="0" borderId="0" xfId="0" quotePrefix="1" applyFont="1" applyAlignment="1" applyProtection="1">
      <alignment horizontal="left"/>
      <protection locked="0"/>
    </xf>
    <xf numFmtId="14" fontId="24" fillId="7" borderId="0" xfId="0" applyNumberFormat="1" applyFont="1" applyFill="1" applyProtection="1">
      <protection locked="0"/>
    </xf>
    <xf numFmtId="22" fontId="24" fillId="7" borderId="0" xfId="0" applyNumberFormat="1" applyFont="1" applyFill="1" applyProtection="1">
      <protection locked="0"/>
    </xf>
    <xf numFmtId="0" fontId="68" fillId="0" borderId="0" xfId="0" applyFont="1" applyProtection="1">
      <protection locked="0"/>
    </xf>
    <xf numFmtId="0" fontId="68" fillId="7" borderId="0" xfId="0" applyFont="1" applyFill="1" applyProtection="1">
      <protection locked="0"/>
    </xf>
    <xf numFmtId="0" fontId="1" fillId="0" borderId="0" xfId="12" applyNumberFormat="1" applyFont="1" applyAlignment="1" applyProtection="1">
      <alignment horizontal="center"/>
      <protection locked="0"/>
    </xf>
    <xf numFmtId="0" fontId="45" fillId="0" borderId="24" xfId="0" applyFont="1" applyBorder="1" applyAlignment="1" applyProtection="1">
      <alignment horizontal="center"/>
      <protection locked="0"/>
    </xf>
    <xf numFmtId="0" fontId="63" fillId="0" borderId="0" xfId="0" quotePrefix="1" applyFont="1" applyBorder="1" applyAlignment="1" applyProtection="1">
      <alignment horizontal="left"/>
      <protection locked="0"/>
    </xf>
    <xf numFmtId="0" fontId="46" fillId="7" borderId="0" xfId="0" applyFont="1" applyFill="1" applyProtection="1">
      <protection locked="0"/>
    </xf>
    <xf numFmtId="0" fontId="1" fillId="0" borderId="24" xfId="0" applyFont="1" applyBorder="1" applyProtection="1">
      <protection locked="0"/>
    </xf>
    <xf numFmtId="0" fontId="74" fillId="0" borderId="0" xfId="0" quotePrefix="1" applyFont="1" applyAlignment="1" applyProtection="1">
      <alignment horizontal="right"/>
      <protection locked="0"/>
    </xf>
    <xf numFmtId="0" fontId="1" fillId="0" borderId="30" xfId="0" applyFont="1" applyBorder="1" applyProtection="1">
      <protection locked="0"/>
    </xf>
    <xf numFmtId="0" fontId="75" fillId="0" borderId="0" xfId="0" quotePrefix="1" applyFont="1" applyAlignment="1" applyProtection="1">
      <alignment horizontal="left"/>
      <protection locked="0"/>
    </xf>
    <xf numFmtId="0" fontId="1" fillId="0" borderId="2" xfId="0" quotePrefix="1" applyFont="1" applyBorder="1" applyAlignment="1" applyProtection="1">
      <alignment horizontal="left"/>
      <protection locked="0"/>
    </xf>
    <xf numFmtId="0" fontId="74" fillId="0" borderId="2" xfId="0" quotePrefix="1" applyFont="1" applyBorder="1" applyAlignment="1" applyProtection="1">
      <alignment horizontal="left"/>
      <protection locked="0"/>
    </xf>
    <xf numFmtId="0" fontId="1" fillId="0" borderId="0" xfId="0" applyFont="1" applyAlignment="1" applyProtection="1">
      <alignment horizontal="right"/>
      <protection locked="0"/>
    </xf>
    <xf numFmtId="0" fontId="1" fillId="0" borderId="2" xfId="0" applyFont="1" applyBorder="1" applyAlignment="1" applyProtection="1">
      <alignment horizontal="left"/>
      <protection locked="0"/>
    </xf>
    <xf numFmtId="0" fontId="73" fillId="0" borderId="0" xfId="0" quotePrefix="1" applyFont="1" applyAlignment="1" applyProtection="1">
      <alignment horizontal="right"/>
      <protection locked="0"/>
    </xf>
    <xf numFmtId="0" fontId="26" fillId="0" borderId="24" xfId="0" quotePrefix="1" applyFont="1" applyBorder="1" applyAlignment="1" applyProtection="1">
      <alignment horizontal="left"/>
      <protection locked="0"/>
    </xf>
    <xf numFmtId="0" fontId="73" fillId="0" borderId="0" xfId="0" quotePrefix="1" applyFont="1" applyAlignment="1" applyProtection="1">
      <alignment horizontal="left"/>
      <protection locked="0"/>
    </xf>
    <xf numFmtId="0" fontId="45" fillId="0" borderId="0" xfId="0" quotePrefix="1" applyFont="1" applyAlignment="1" applyProtection="1">
      <alignment horizontal="left"/>
      <protection locked="0"/>
    </xf>
    <xf numFmtId="0" fontId="46" fillId="0" borderId="0" xfId="0" quotePrefix="1" applyFont="1" applyBorder="1" applyAlignment="1" applyProtection="1">
      <alignment horizontal="left"/>
      <protection locked="0"/>
    </xf>
    <xf numFmtId="0" fontId="26" fillId="11" borderId="0" xfId="0" applyFont="1" applyFill="1" applyAlignment="1" applyProtection="1">
      <protection locked="0"/>
    </xf>
    <xf numFmtId="0" fontId="1" fillId="11" borderId="0" xfId="0" applyFont="1" applyFill="1" applyAlignment="1" applyProtection="1">
      <alignment horizontal="center"/>
      <protection locked="0"/>
    </xf>
    <xf numFmtId="0" fontId="1" fillId="11" borderId="0" xfId="0" applyFont="1" applyFill="1" applyAlignment="1" applyProtection="1">
      <protection locked="0"/>
    </xf>
    <xf numFmtId="0" fontId="26" fillId="11" borderId="24" xfId="0" applyFont="1" applyFill="1" applyBorder="1" applyAlignment="1" applyProtection="1">
      <protection locked="0"/>
    </xf>
    <xf numFmtId="0" fontId="26" fillId="11" borderId="24" xfId="0" applyFont="1" applyFill="1" applyBorder="1" applyAlignment="1" applyProtection="1">
      <alignment horizontal="center"/>
      <protection locked="0"/>
    </xf>
    <xf numFmtId="0" fontId="1" fillId="7" borderId="0" xfId="0" applyFont="1" applyFill="1" applyAlignment="1" applyProtection="1">
      <alignment horizontal="center"/>
      <protection locked="0"/>
    </xf>
    <xf numFmtId="0" fontId="1" fillId="11" borderId="0" xfId="0" quotePrefix="1" applyFont="1" applyFill="1" applyAlignment="1" applyProtection="1">
      <alignment horizontal="left"/>
      <protection locked="0"/>
    </xf>
    <xf numFmtId="0" fontId="25" fillId="11" borderId="0" xfId="11" applyFill="1" applyAlignment="1" applyProtection="1">
      <protection locked="0"/>
    </xf>
    <xf numFmtId="0" fontId="26" fillId="0" borderId="0" xfId="0" applyFont="1" applyAlignment="1" applyProtection="1">
      <alignment horizontal="center"/>
      <protection locked="0"/>
    </xf>
    <xf numFmtId="0" fontId="26" fillId="0" borderId="0" xfId="0" applyFont="1" applyAlignment="1" applyProtection="1">
      <alignment horizontal="center" wrapText="1"/>
      <protection locked="0"/>
    </xf>
    <xf numFmtId="0" fontId="73" fillId="0" borderId="0" xfId="0" applyFont="1" applyProtection="1">
      <protection locked="0"/>
    </xf>
    <xf numFmtId="1" fontId="1" fillId="0" borderId="0" xfId="0" applyNumberFormat="1" applyFont="1" applyAlignment="1" applyProtection="1">
      <alignment horizontal="center"/>
      <protection locked="0"/>
    </xf>
    <xf numFmtId="0" fontId="73" fillId="0" borderId="0" xfId="0" applyFont="1" applyAlignment="1" applyProtection="1">
      <alignment horizontal="center"/>
      <protection locked="0"/>
    </xf>
    <xf numFmtId="44" fontId="73" fillId="0" borderId="0" xfId="12" applyFont="1" applyProtection="1">
      <protection locked="0"/>
    </xf>
    <xf numFmtId="0" fontId="73" fillId="0" borderId="0" xfId="0" quotePrefix="1" applyFont="1" applyAlignment="1" applyProtection="1">
      <alignment horizontal="center"/>
      <protection locked="0"/>
    </xf>
    <xf numFmtId="0" fontId="73" fillId="0" borderId="0" xfId="0" quotePrefix="1" applyFont="1" applyAlignment="1" applyProtection="1">
      <alignment horizontal="left" wrapText="1"/>
      <protection locked="0"/>
    </xf>
    <xf numFmtId="0" fontId="73" fillId="0" borderId="0" xfId="0" quotePrefix="1" applyFont="1" applyAlignment="1" applyProtection="1">
      <alignment horizontal="center" wrapText="1"/>
      <protection locked="0"/>
    </xf>
    <xf numFmtId="0" fontId="1" fillId="0" borderId="31" xfId="0" applyFont="1" applyBorder="1" applyProtection="1">
      <protection locked="0"/>
    </xf>
    <xf numFmtId="0" fontId="63" fillId="0" borderId="32" xfId="0" applyFont="1" applyBorder="1" applyProtection="1">
      <protection locked="0"/>
    </xf>
    <xf numFmtId="0" fontId="1" fillId="0" borderId="32" xfId="0" applyFont="1" applyBorder="1" applyProtection="1">
      <protection locked="0"/>
    </xf>
    <xf numFmtId="0" fontId="63" fillId="0" borderId="32" xfId="0" applyFont="1" applyBorder="1" applyAlignment="1" applyProtection="1">
      <alignment horizontal="left" vertical="top" wrapText="1"/>
      <protection locked="0"/>
    </xf>
    <xf numFmtId="0" fontId="63" fillId="0" borderId="30" xfId="0" applyFont="1" applyBorder="1" applyAlignment="1" applyProtection="1">
      <alignment horizontal="left" vertical="top" wrapText="1"/>
      <protection locked="0"/>
    </xf>
    <xf numFmtId="0" fontId="72" fillId="0" borderId="0" xfId="0" applyFont="1" applyBorder="1" applyAlignment="1" applyProtection="1">
      <alignment horizontal="left" vertical="top" wrapText="1"/>
      <protection locked="0"/>
    </xf>
    <xf numFmtId="0" fontId="63" fillId="0" borderId="31" xfId="0" applyFont="1" applyBorder="1" applyAlignment="1" applyProtection="1">
      <alignment horizontal="left" vertical="top" wrapText="1"/>
      <protection locked="0"/>
    </xf>
    <xf numFmtId="49" fontId="59" fillId="0" borderId="0" xfId="0" applyNumberFormat="1" applyFont="1" applyAlignment="1" applyProtection="1">
      <alignment horizontal="left"/>
      <protection locked="0"/>
    </xf>
    <xf numFmtId="49" fontId="59" fillId="0" borderId="0" xfId="0" applyNumberFormat="1" applyFont="1" applyAlignment="1" applyProtection="1">
      <alignment horizontal="left" indent="1"/>
      <protection locked="0"/>
    </xf>
    <xf numFmtId="0" fontId="71" fillId="0" borderId="0" xfId="0" quotePrefix="1" applyFont="1" applyAlignment="1" applyProtection="1">
      <alignment horizontal="left"/>
      <protection locked="0"/>
    </xf>
    <xf numFmtId="37" fontId="36" fillId="0" borderId="2" xfId="5" applyNumberFormat="1" applyFont="1" applyBorder="1" applyProtection="1">
      <protection locked="0"/>
    </xf>
    <xf numFmtId="10" fontId="36" fillId="0" borderId="2" xfId="9" applyNumberFormat="1" applyFont="1" applyBorder="1" applyProtection="1">
      <protection locked="0"/>
    </xf>
    <xf numFmtId="37" fontId="36" fillId="0" borderId="2" xfId="5" quotePrefix="1" applyNumberFormat="1" applyFont="1" applyBorder="1" applyAlignment="1" applyProtection="1">
      <alignment horizontal="right"/>
      <protection locked="0"/>
    </xf>
    <xf numFmtId="43" fontId="0" fillId="0" borderId="0" xfId="5" applyFont="1" applyProtection="1">
      <protection locked="0"/>
    </xf>
    <xf numFmtId="164" fontId="0" fillId="0" borderId="0" xfId="5" applyNumberFormat="1" applyFont="1" applyProtection="1">
      <protection locked="0"/>
    </xf>
    <xf numFmtId="164" fontId="26" fillId="0" borderId="26" xfId="5" applyNumberFormat="1" applyFont="1" applyBorder="1" applyProtection="1">
      <protection locked="0"/>
    </xf>
    <xf numFmtId="10" fontId="36" fillId="0" borderId="0" xfId="9" applyNumberFormat="1" applyFont="1" applyProtection="1">
      <protection locked="0"/>
    </xf>
    <xf numFmtId="10" fontId="0" fillId="0" borderId="0" xfId="9" applyNumberFormat="1" applyFont="1" applyProtection="1">
      <protection locked="0"/>
    </xf>
    <xf numFmtId="164" fontId="36" fillId="0" borderId="23" xfId="5" applyNumberFormat="1" applyFont="1" applyBorder="1" applyProtection="1">
      <protection locked="0"/>
    </xf>
    <xf numFmtId="164" fontId="26" fillId="0" borderId="23" xfId="5" applyNumberFormat="1" applyFont="1" applyBorder="1" applyProtection="1">
      <protection locked="0"/>
    </xf>
    <xf numFmtId="0" fontId="32" fillId="0" borderId="0" xfId="0" quotePrefix="1" applyFont="1" applyAlignment="1" applyProtection="1">
      <alignment horizontal="left"/>
      <protection locked="0"/>
    </xf>
    <xf numFmtId="0" fontId="24" fillId="0" borderId="0" xfId="0" quotePrefix="1" applyFont="1" applyBorder="1" applyAlignment="1" applyProtection="1">
      <alignment horizontal="left"/>
      <protection locked="0"/>
    </xf>
    <xf numFmtId="0" fontId="1" fillId="0" borderId="0" xfId="0" applyFont="1" applyBorder="1" applyAlignment="1" applyProtection="1">
      <alignment horizontal="center" vertical="top"/>
      <protection locked="0"/>
    </xf>
    <xf numFmtId="0" fontId="1" fillId="0" borderId="0" xfId="0" applyFont="1" applyBorder="1" applyProtection="1">
      <protection locked="0"/>
    </xf>
    <xf numFmtId="0" fontId="26" fillId="0" borderId="0" xfId="0" applyFont="1" applyBorder="1" applyProtection="1">
      <protection locked="0"/>
    </xf>
    <xf numFmtId="0" fontId="26" fillId="0" borderId="0" xfId="0" applyFont="1" applyBorder="1" applyAlignment="1" applyProtection="1">
      <alignment horizontal="center" vertical="top"/>
      <protection locked="0"/>
    </xf>
    <xf numFmtId="0" fontId="1" fillId="7" borderId="2" xfId="0" applyFont="1" applyFill="1" applyBorder="1" applyProtection="1">
      <protection locked="0"/>
    </xf>
    <xf numFmtId="0" fontId="1" fillId="7" borderId="2" xfId="0" applyFont="1" applyFill="1" applyBorder="1" applyAlignment="1" applyProtection="1">
      <alignment horizontal="center" vertical="top"/>
      <protection locked="0"/>
    </xf>
    <xf numFmtId="0" fontId="1" fillId="7" borderId="2" xfId="0" quotePrefix="1" applyFont="1" applyFill="1" applyBorder="1" applyAlignment="1" applyProtection="1">
      <alignment horizontal="left"/>
      <protection locked="0"/>
    </xf>
    <xf numFmtId="0" fontId="26" fillId="0" borderId="24" xfId="0" quotePrefix="1" applyFont="1" applyBorder="1" applyAlignment="1" applyProtection="1">
      <alignment horizontal="center" vertical="top"/>
      <protection locked="0"/>
    </xf>
    <xf numFmtId="0" fontId="1" fillId="0" borderId="2" xfId="0" applyFont="1" applyBorder="1" applyAlignment="1" applyProtection="1">
      <alignment horizontal="center"/>
      <protection locked="0"/>
    </xf>
    <xf numFmtId="0" fontId="26" fillId="0" borderId="29" xfId="0" quotePrefix="1" applyFont="1" applyBorder="1" applyAlignment="1" applyProtection="1">
      <alignment horizontal="center" wrapText="1"/>
      <protection locked="0"/>
    </xf>
    <xf numFmtId="16" fontId="26" fillId="0" borderId="29" xfId="0" applyNumberFormat="1" applyFont="1" applyBorder="1" applyAlignment="1" applyProtection="1">
      <alignment horizontal="center" wrapText="1"/>
      <protection locked="0"/>
    </xf>
    <xf numFmtId="0" fontId="26" fillId="0" borderId="29" xfId="0" applyFont="1" applyBorder="1" applyAlignment="1" applyProtection="1">
      <alignment horizontal="center" wrapText="1"/>
      <protection locked="0"/>
    </xf>
    <xf numFmtId="0" fontId="69" fillId="0" borderId="30" xfId="0" quotePrefix="1" applyFont="1" applyBorder="1" applyAlignment="1" applyProtection="1">
      <alignment horizontal="center" wrapText="1"/>
      <protection locked="0"/>
    </xf>
    <xf numFmtId="0" fontId="69" fillId="0" borderId="30" xfId="0" applyFont="1" applyBorder="1" applyAlignment="1" applyProtection="1">
      <alignment horizontal="center" wrapText="1"/>
      <protection locked="0"/>
    </xf>
    <xf numFmtId="8" fontId="1" fillId="0" borderId="2" xfId="0" applyNumberFormat="1"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center"/>
      <protection locked="0"/>
    </xf>
    <xf numFmtId="44" fontId="1" fillId="0" borderId="2" xfId="12" applyFont="1" applyBorder="1" applyAlignment="1" applyProtection="1">
      <alignment horizontal="center"/>
      <protection locked="0"/>
    </xf>
    <xf numFmtId="44" fontId="1" fillId="0" borderId="27" xfId="0" applyNumberFormat="1" applyFont="1" applyBorder="1" applyProtection="1">
      <protection locked="0"/>
    </xf>
    <xf numFmtId="0" fontId="24" fillId="11" borderId="0" xfId="0" applyFont="1" applyFill="1" applyAlignment="1" applyProtection="1">
      <protection locked="0"/>
    </xf>
    <xf numFmtId="0" fontId="26" fillId="11" borderId="24" xfId="0" quotePrefix="1" applyFont="1" applyFill="1" applyBorder="1" applyAlignment="1" applyProtection="1">
      <alignment horizontal="center"/>
      <protection locked="0"/>
    </xf>
    <xf numFmtId="0" fontId="1" fillId="11" borderId="24" xfId="0" applyFont="1" applyFill="1" applyBorder="1" applyAlignment="1" applyProtection="1">
      <protection locked="0"/>
    </xf>
    <xf numFmtId="164" fontId="26" fillId="0" borderId="24" xfId="5" applyNumberFormat="1" applyFont="1" applyBorder="1" applyAlignment="1" applyProtection="1">
      <alignment horizontal="center" wrapText="1"/>
      <protection locked="0"/>
    </xf>
    <xf numFmtId="0" fontId="1" fillId="0" borderId="0" xfId="0" applyFont="1" applyBorder="1" applyAlignment="1" applyProtection="1">
      <alignment horizontal="center" wrapText="1"/>
      <protection locked="0"/>
    </xf>
    <xf numFmtId="0" fontId="1" fillId="0" borderId="0" xfId="0" applyFont="1" applyAlignment="1" applyProtection="1">
      <alignment horizontal="center" wrapText="1"/>
      <protection locked="0"/>
    </xf>
    <xf numFmtId="164" fontId="1" fillId="0" borderId="0" xfId="5" applyNumberFormat="1" applyFont="1" applyBorder="1" applyProtection="1">
      <protection locked="0"/>
    </xf>
    <xf numFmtId="43" fontId="40" fillId="0" borderId="24" xfId="5" applyFont="1" applyBorder="1" applyAlignment="1" applyProtection="1">
      <alignment horizontal="center"/>
      <protection locked="0"/>
    </xf>
    <xf numFmtId="43" fontId="40" fillId="0" borderId="0" xfId="5" applyFont="1" applyBorder="1" applyAlignment="1" applyProtection="1">
      <alignment horizontal="center"/>
      <protection locked="0"/>
    </xf>
    <xf numFmtId="43" fontId="65" fillId="0" borderId="0" xfId="5" applyFont="1" applyProtection="1">
      <protection locked="0"/>
    </xf>
    <xf numFmtId="43" fontId="37" fillId="0" borderId="0" xfId="5" applyFont="1" applyProtection="1">
      <protection locked="0"/>
    </xf>
    <xf numFmtId="43" fontId="37" fillId="0" borderId="23" xfId="5" applyFont="1" applyBorder="1" applyProtection="1">
      <protection locked="0"/>
    </xf>
    <xf numFmtId="0" fontId="33" fillId="0" borderId="0" xfId="0" applyFont="1" applyProtection="1">
      <protection locked="0"/>
    </xf>
    <xf numFmtId="0" fontId="64" fillId="0" borderId="0" xfId="0" applyFont="1" applyProtection="1">
      <protection locked="0"/>
    </xf>
    <xf numFmtId="43" fontId="0" fillId="0" borderId="23" xfId="0" quotePrefix="1" applyNumberFormat="1" applyBorder="1" applyProtection="1">
      <protection locked="0"/>
    </xf>
    <xf numFmtId="164" fontId="1" fillId="7" borderId="0" xfId="5" quotePrefix="1" applyNumberFormat="1" applyFont="1" applyFill="1" applyBorder="1" applyProtection="1">
      <protection locked="0"/>
    </xf>
    <xf numFmtId="164" fontId="1" fillId="0" borderId="23" xfId="5" quotePrefix="1" applyNumberFormat="1" applyFont="1" applyBorder="1" applyProtection="1">
      <protection locked="0"/>
    </xf>
    <xf numFmtId="0" fontId="53" fillId="0" borderId="0" xfId="0" applyFont="1" applyAlignment="1" applyProtection="1">
      <alignment horizontal="center"/>
      <protection locked="0"/>
    </xf>
    <xf numFmtId="0" fontId="44" fillId="0" borderId="0" xfId="0" applyFont="1" applyProtection="1">
      <protection locked="0"/>
    </xf>
    <xf numFmtId="167" fontId="46" fillId="12" borderId="2" xfId="0" applyNumberFormat="1" applyFont="1" applyFill="1" applyBorder="1" applyAlignment="1" applyProtection="1">
      <alignment horizontal="center"/>
      <protection locked="0"/>
    </xf>
    <xf numFmtId="0" fontId="46" fillId="0" borderId="0" xfId="0" quotePrefix="1" applyFont="1" applyAlignment="1" applyProtection="1">
      <alignment horizontal="left"/>
      <protection locked="0"/>
    </xf>
    <xf numFmtId="10" fontId="46" fillId="12" borderId="2" xfId="0" applyNumberFormat="1" applyFont="1" applyFill="1" applyBorder="1" applyAlignment="1" applyProtection="1">
      <alignment horizontal="center"/>
      <protection locked="0"/>
    </xf>
    <xf numFmtId="49" fontId="46" fillId="0" borderId="0" xfId="14" applyNumberFormat="1" applyFont="1" applyBorder="1" applyProtection="1">
      <protection locked="0"/>
    </xf>
    <xf numFmtId="43" fontId="46" fillId="0" borderId="0" xfId="5" applyFont="1" applyBorder="1" applyProtection="1">
      <protection locked="0"/>
    </xf>
    <xf numFmtId="43" fontId="45" fillId="0" borderId="0" xfId="5" applyFont="1" applyBorder="1" applyProtection="1">
      <protection locked="0"/>
    </xf>
    <xf numFmtId="49" fontId="59" fillId="0" borderId="0" xfId="15" applyNumberFormat="1" applyFont="1" applyBorder="1" applyAlignment="1" applyProtection="1">
      <alignment horizontal="left"/>
      <protection locked="0"/>
    </xf>
    <xf numFmtId="0" fontId="59" fillId="0" borderId="24" xfId="5" applyNumberFormat="1" applyFont="1" applyBorder="1" applyAlignment="1" applyProtection="1">
      <alignment horizontal="center"/>
      <protection locked="0"/>
    </xf>
    <xf numFmtId="0" fontId="47" fillId="0" borderId="24" xfId="5" applyNumberFormat="1" applyFont="1" applyBorder="1" applyAlignment="1" applyProtection="1">
      <alignment horizontal="center"/>
      <protection locked="0"/>
    </xf>
    <xf numFmtId="49" fontId="45" fillId="0" borderId="0" xfId="0" applyNumberFormat="1" applyFont="1" applyProtection="1">
      <protection locked="0"/>
    </xf>
    <xf numFmtId="49" fontId="59" fillId="0" borderId="0" xfId="13" applyNumberFormat="1" applyFont="1" applyBorder="1" applyProtection="1">
      <protection locked="0"/>
    </xf>
    <xf numFmtId="43" fontId="59" fillId="0" borderId="0" xfId="5" applyFont="1" applyBorder="1" applyProtection="1">
      <protection locked="0"/>
    </xf>
    <xf numFmtId="43" fontId="47" fillId="0" borderId="0" xfId="5" applyFont="1" applyBorder="1" applyProtection="1">
      <protection locked="0"/>
    </xf>
    <xf numFmtId="49" fontId="59" fillId="0" borderId="0" xfId="16" applyNumberFormat="1" applyFont="1" applyBorder="1" applyProtection="1">
      <protection locked="0"/>
    </xf>
    <xf numFmtId="167" fontId="54" fillId="0" borderId="0" xfId="9" applyNumberFormat="1" applyFont="1" applyAlignment="1" applyProtection="1">
      <alignment horizontal="center"/>
      <protection locked="0"/>
    </xf>
    <xf numFmtId="0" fontId="59" fillId="0" borderId="0" xfId="17" applyFont="1" applyBorder="1" applyProtection="1">
      <protection locked="0"/>
    </xf>
    <xf numFmtId="44" fontId="59" fillId="0" borderId="0" xfId="5" applyNumberFormat="1" applyFont="1" applyBorder="1" applyProtection="1">
      <protection locked="0"/>
    </xf>
    <xf numFmtId="44" fontId="47" fillId="0" borderId="0" xfId="5" applyNumberFormat="1" applyFont="1" applyBorder="1" applyProtection="1">
      <protection locked="0"/>
    </xf>
    <xf numFmtId="43" fontId="60" fillId="0" borderId="0" xfId="5" applyFont="1" applyBorder="1" applyProtection="1">
      <protection locked="0"/>
    </xf>
    <xf numFmtId="43" fontId="48" fillId="0" borderId="0" xfId="5" applyFont="1" applyBorder="1" applyProtection="1">
      <protection locked="0"/>
    </xf>
    <xf numFmtId="0" fontId="59" fillId="0" borderId="0" xfId="18" applyFont="1" applyFill="1" applyBorder="1" applyProtection="1">
      <protection locked="0"/>
    </xf>
    <xf numFmtId="44" fontId="60" fillId="7" borderId="0" xfId="12" applyFont="1" applyFill="1" applyBorder="1" applyProtection="1">
      <protection locked="0"/>
    </xf>
    <xf numFmtId="44" fontId="48" fillId="7" borderId="0" xfId="12" applyFont="1" applyFill="1" applyBorder="1" applyProtection="1">
      <protection locked="0"/>
    </xf>
    <xf numFmtId="44" fontId="60" fillId="0" borderId="0" xfId="12" applyFont="1" applyFill="1" applyBorder="1" applyProtection="1">
      <protection locked="0"/>
    </xf>
    <xf numFmtId="44" fontId="48" fillId="0" borderId="0" xfId="12" applyFont="1" applyFill="1" applyBorder="1" applyProtection="1">
      <protection locked="0"/>
    </xf>
    <xf numFmtId="9" fontId="59" fillId="0" borderId="0" xfId="9" applyFont="1" applyFill="1" applyBorder="1" applyProtection="1">
      <protection locked="0"/>
    </xf>
    <xf numFmtId="9" fontId="47" fillId="0" borderId="0" xfId="9" applyFont="1" applyFill="1" applyBorder="1" applyProtection="1">
      <protection locked="0"/>
    </xf>
    <xf numFmtId="43" fontId="60" fillId="0" borderId="0" xfId="5" applyFont="1" applyFill="1" applyBorder="1" applyProtection="1">
      <protection locked="0"/>
    </xf>
    <xf numFmtId="43" fontId="48" fillId="0" borderId="0" xfId="5" applyFont="1" applyFill="1" applyBorder="1" applyProtection="1">
      <protection locked="0"/>
    </xf>
    <xf numFmtId="43" fontId="60" fillId="7" borderId="0" xfId="5" applyFont="1" applyFill="1" applyBorder="1" applyProtection="1">
      <protection locked="0"/>
    </xf>
    <xf numFmtId="43" fontId="48" fillId="7" borderId="0" xfId="5" applyFont="1" applyFill="1" applyBorder="1" applyProtection="1">
      <protection locked="0"/>
    </xf>
    <xf numFmtId="43" fontId="45" fillId="7" borderId="0" xfId="5" applyFont="1" applyFill="1" applyAlignment="1" applyProtection="1">
      <alignment horizontal="center"/>
      <protection locked="0"/>
    </xf>
    <xf numFmtId="0" fontId="59" fillId="0" borderId="0" xfId="19" applyFont="1" applyFill="1" applyBorder="1" applyProtection="1">
      <protection locked="0"/>
    </xf>
    <xf numFmtId="0" fontId="59" fillId="0" borderId="0" xfId="20" applyFont="1" applyFill="1" applyBorder="1" applyProtection="1">
      <protection locked="0"/>
    </xf>
    <xf numFmtId="44" fontId="61" fillId="0" borderId="0" xfId="12" applyFont="1" applyFill="1" applyBorder="1" applyProtection="1">
      <protection locked="0"/>
    </xf>
    <xf numFmtId="44" fontId="49" fillId="0" borderId="0" xfId="12" applyFont="1" applyFill="1" applyBorder="1" applyProtection="1">
      <protection locked="0"/>
    </xf>
    <xf numFmtId="0" fontId="21" fillId="0" borderId="17" xfId="0" applyFont="1" applyBorder="1" applyAlignment="1" applyProtection="1">
      <alignment horizontal="center"/>
      <protection locked="0"/>
    </xf>
    <xf numFmtId="0" fontId="55" fillId="0" borderId="0" xfId="0" applyFont="1" applyProtection="1">
      <protection locked="0"/>
    </xf>
    <xf numFmtId="0" fontId="0" fillId="0" borderId="26" xfId="0" applyBorder="1" applyProtection="1">
      <protection locked="0"/>
    </xf>
    <xf numFmtId="0" fontId="56" fillId="0" borderId="0" xfId="0" applyFont="1" applyProtection="1">
      <protection locked="0"/>
    </xf>
    <xf numFmtId="0" fontId="56" fillId="0" borderId="26" xfId="0" applyFont="1" applyBorder="1" applyProtection="1">
      <protection locked="0"/>
    </xf>
    <xf numFmtId="0" fontId="57" fillId="0" borderId="0" xfId="0" applyFont="1" applyProtection="1">
      <protection locked="0"/>
    </xf>
    <xf numFmtId="0" fontId="56" fillId="13" borderId="28" xfId="0" applyFont="1" applyFill="1" applyBorder="1" applyProtection="1">
      <protection locked="0"/>
    </xf>
    <xf numFmtId="0" fontId="32" fillId="0" borderId="0" xfId="0" applyFont="1" applyProtection="1">
      <protection locked="0"/>
    </xf>
    <xf numFmtId="0" fontId="0" fillId="11" borderId="0" xfId="0" applyFont="1" applyFill="1" applyBorder="1" applyProtection="1">
      <protection locked="0"/>
    </xf>
    <xf numFmtId="0" fontId="0" fillId="0" borderId="0" xfId="0" applyFont="1" applyProtection="1">
      <protection locked="0"/>
    </xf>
    <xf numFmtId="0" fontId="21" fillId="0" borderId="0" xfId="0" quotePrefix="1" applyFont="1" applyAlignment="1" applyProtection="1">
      <alignment horizontal="left"/>
      <protection locked="0"/>
    </xf>
    <xf numFmtId="0" fontId="21" fillId="0" borderId="0" xfId="0" applyFont="1" applyAlignment="1" applyProtection="1">
      <protection locked="0"/>
    </xf>
    <xf numFmtId="0" fontId="0" fillId="0" borderId="0" xfId="0" applyFont="1" applyAlignment="1" applyProtection="1">
      <protection locked="0"/>
    </xf>
    <xf numFmtId="0" fontId="21" fillId="0" borderId="2" xfId="0" applyFont="1" applyBorder="1" applyAlignment="1" applyProtection="1">
      <alignment horizontal="center"/>
      <protection locked="0"/>
    </xf>
    <xf numFmtId="0" fontId="0" fillId="11" borderId="0" xfId="0" applyFont="1" applyFill="1" applyProtection="1">
      <protection locked="0"/>
    </xf>
    <xf numFmtId="164" fontId="0" fillId="0" borderId="2" xfId="5" applyNumberFormat="1" applyFont="1" applyBorder="1" applyAlignment="1" applyProtection="1">
      <alignment horizontal="right" vertical="top"/>
      <protection locked="0"/>
    </xf>
    <xf numFmtId="164" fontId="0" fillId="0" borderId="2" xfId="5" applyNumberFormat="1" applyFont="1" applyBorder="1" applyAlignment="1" applyProtection="1">
      <protection locked="0"/>
    </xf>
    <xf numFmtId="9" fontId="0" fillId="0" borderId="2" xfId="9" applyFont="1" applyBorder="1" applyAlignment="1" applyProtection="1">
      <alignment horizontal="center" vertical="top"/>
      <protection locked="0"/>
    </xf>
    <xf numFmtId="9" fontId="0" fillId="0" borderId="0" xfId="9" quotePrefix="1" applyFont="1" applyAlignment="1" applyProtection="1">
      <alignment horizontal="left" vertical="top"/>
      <protection locked="0"/>
    </xf>
    <xf numFmtId="164" fontId="0" fillId="7" borderId="2" xfId="5" applyNumberFormat="1" applyFont="1" applyFill="1" applyBorder="1" applyAlignment="1" applyProtection="1">
      <alignment horizontal="right" vertical="top"/>
      <protection locked="0"/>
    </xf>
    <xf numFmtId="1" fontId="0" fillId="0" borderId="0" xfId="0" applyNumberFormat="1" applyAlignment="1" applyProtection="1">
      <alignment horizontal="right" vertical="top"/>
      <protection locked="0"/>
    </xf>
    <xf numFmtId="0" fontId="0" fillId="7" borderId="2" xfId="0" applyFont="1" applyFill="1" applyBorder="1" applyAlignment="1" applyProtection="1">
      <alignment horizontal="center"/>
      <protection locked="0"/>
    </xf>
    <xf numFmtId="0" fontId="21" fillId="0" borderId="0" xfId="0" quotePrefix="1" applyFont="1" applyAlignment="1" applyProtection="1">
      <alignment horizontal="center"/>
      <protection locked="0"/>
    </xf>
    <xf numFmtId="0" fontId="21" fillId="0" borderId="0" xfId="0" applyFont="1" applyAlignment="1" applyProtection="1">
      <alignment horizontal="center"/>
      <protection locked="0"/>
    </xf>
    <xf numFmtId="9" fontId="0" fillId="0" borderId="0" xfId="9" applyFont="1" applyAlignment="1" applyProtection="1">
      <alignment horizontal="left" vertical="top"/>
      <protection locked="0"/>
    </xf>
    <xf numFmtId="164" fontId="0" fillId="0" borderId="2" xfId="5" applyNumberFormat="1" applyFont="1" applyBorder="1" applyProtection="1">
      <protection locked="0"/>
    </xf>
    <xf numFmtId="9" fontId="0" fillId="0" borderId="2" xfId="9" applyFont="1" applyBorder="1" applyAlignment="1" applyProtection="1">
      <alignment horizontal="right" vertical="top"/>
      <protection locked="0"/>
    </xf>
    <xf numFmtId="9" fontId="0" fillId="0" borderId="2" xfId="9" applyFont="1" applyBorder="1" applyProtection="1">
      <protection locked="0"/>
    </xf>
    <xf numFmtId="9" fontId="0" fillId="0" borderId="0" xfId="9" applyFont="1" applyProtection="1">
      <protection locked="0"/>
    </xf>
    <xf numFmtId="164" fontId="0" fillId="0" borderId="0" xfId="0" applyNumberFormat="1" applyFont="1" applyProtection="1">
      <protection locked="0"/>
    </xf>
    <xf numFmtId="43" fontId="0" fillId="0" borderId="0" xfId="0" applyNumberFormat="1" applyFont="1" applyProtection="1">
      <protection locked="0"/>
    </xf>
    <xf numFmtId="0" fontId="21" fillId="11" borderId="0" xfId="0" applyFont="1" applyFill="1" applyAlignment="1" applyProtection="1">
      <protection locked="0"/>
    </xf>
    <xf numFmtId="0" fontId="27" fillId="11" borderId="0" xfId="6" applyFont="1" applyFill="1" applyBorder="1" applyProtection="1">
      <protection locked="0"/>
    </xf>
    <xf numFmtId="0" fontId="28" fillId="11" borderId="0" xfId="0" applyFont="1" applyFill="1" applyBorder="1" applyProtection="1">
      <protection locked="0"/>
    </xf>
    <xf numFmtId="14" fontId="28" fillId="11" borderId="0" xfId="0" applyNumberFormat="1" applyFont="1" applyFill="1" applyBorder="1" applyAlignment="1" applyProtection="1">
      <alignment horizontal="left"/>
      <protection locked="0"/>
    </xf>
    <xf numFmtId="0" fontId="29" fillId="11" borderId="17" xfId="4" applyFont="1" applyFill="1" applyBorder="1" applyProtection="1">
      <protection locked="0"/>
    </xf>
    <xf numFmtId="14" fontId="28" fillId="11" borderId="0" xfId="0" applyNumberFormat="1" applyFont="1" applyFill="1" applyBorder="1" applyAlignment="1" applyProtection="1">
      <alignment horizontal="center"/>
      <protection locked="0"/>
    </xf>
    <xf numFmtId="2" fontId="28" fillId="11" borderId="0" xfId="0" applyNumberFormat="1" applyFont="1" applyFill="1" applyBorder="1" applyAlignment="1" applyProtection="1">
      <alignment horizontal="center"/>
      <protection locked="0"/>
    </xf>
    <xf numFmtId="4" fontId="28" fillId="11" borderId="0" xfId="5" applyNumberFormat="1" applyFont="1" applyFill="1" applyBorder="1" applyProtection="1">
      <protection locked="0"/>
    </xf>
    <xf numFmtId="0" fontId="28" fillId="11" borderId="0" xfId="0" quotePrefix="1" applyFont="1" applyFill="1" applyBorder="1" applyAlignment="1" applyProtection="1">
      <alignment horizontal="left"/>
      <protection locked="0"/>
    </xf>
    <xf numFmtId="0" fontId="28" fillId="11" borderId="0" xfId="2" applyFont="1" applyFill="1" applyBorder="1" applyProtection="1">
      <protection locked="0"/>
    </xf>
    <xf numFmtId="14" fontId="28" fillId="11" borderId="0" xfId="2" applyNumberFormat="1" applyFont="1" applyFill="1" applyBorder="1" applyAlignment="1" applyProtection="1">
      <alignment horizontal="center"/>
      <protection locked="0"/>
    </xf>
    <xf numFmtId="2" fontId="28" fillId="11" borderId="0" xfId="2" applyNumberFormat="1" applyFont="1" applyFill="1" applyBorder="1" applyAlignment="1" applyProtection="1">
      <alignment horizontal="center"/>
      <protection locked="0"/>
    </xf>
    <xf numFmtId="0" fontId="28" fillId="11" borderId="0" xfId="0" applyFont="1" applyFill="1" applyBorder="1" applyAlignment="1" applyProtection="1">
      <protection locked="0"/>
    </xf>
    <xf numFmtId="0" fontId="28" fillId="11" borderId="0" xfId="2" applyFont="1" applyFill="1" applyAlignment="1" applyProtection="1">
      <alignment horizontal="left" vertical="top"/>
      <protection locked="0"/>
    </xf>
    <xf numFmtId="14" fontId="28" fillId="11" borderId="0" xfId="0" applyNumberFormat="1" applyFont="1" applyFill="1" applyAlignment="1" applyProtection="1">
      <alignment horizontal="center"/>
      <protection locked="0"/>
    </xf>
    <xf numFmtId="14" fontId="28" fillId="11" borderId="0" xfId="2" applyNumberFormat="1" applyFont="1" applyFill="1" applyAlignment="1" applyProtection="1">
      <alignment horizontal="center"/>
      <protection locked="0"/>
    </xf>
    <xf numFmtId="0" fontId="28" fillId="11" borderId="0" xfId="2" applyFont="1" applyFill="1" applyProtection="1">
      <protection locked="0"/>
    </xf>
    <xf numFmtId="14" fontId="0" fillId="0" borderId="0" xfId="0" applyNumberFormat="1" applyAlignment="1" applyProtection="1">
      <alignment horizontal="center"/>
      <protection locked="0"/>
    </xf>
    <xf numFmtId="0" fontId="28" fillId="11" borderId="0" xfId="2" quotePrefix="1" applyFont="1" applyFill="1" applyAlignment="1" applyProtection="1">
      <alignment horizontal="left"/>
      <protection locked="0"/>
    </xf>
    <xf numFmtId="0" fontId="28" fillId="11" borderId="0" xfId="0" applyFont="1" applyFill="1" applyBorder="1" applyAlignment="1" applyProtection="1">
      <alignment horizontal="left"/>
      <protection locked="0"/>
    </xf>
    <xf numFmtId="0" fontId="27" fillId="11" borderId="0" xfId="6" quotePrefix="1" applyFont="1" applyFill="1" applyBorder="1" applyAlignment="1" applyProtection="1">
      <alignment horizontal="left"/>
      <protection locked="0"/>
    </xf>
    <xf numFmtId="164" fontId="28" fillId="11" borderId="2" xfId="5" applyNumberFormat="1" applyFont="1" applyFill="1" applyBorder="1" applyProtection="1">
      <protection locked="0"/>
    </xf>
    <xf numFmtId="2" fontId="28" fillId="11" borderId="0" xfId="0" applyNumberFormat="1" applyFont="1" applyFill="1" applyBorder="1" applyProtection="1">
      <protection locked="0"/>
    </xf>
    <xf numFmtId="2" fontId="28" fillId="11" borderId="0" xfId="2" applyNumberFormat="1" applyFont="1" applyFill="1" applyBorder="1" applyProtection="1">
      <protection locked="0"/>
    </xf>
    <xf numFmtId="2" fontId="28" fillId="11" borderId="0" xfId="0" applyNumberFormat="1" applyFont="1" applyFill="1" applyBorder="1" applyAlignment="1" applyProtection="1">
      <protection locked="0"/>
    </xf>
    <xf numFmtId="0" fontId="29" fillId="11" borderId="17" xfId="4" quotePrefix="1" applyFont="1" applyFill="1" applyBorder="1" applyAlignment="1" applyProtection="1">
      <alignment horizontal="center"/>
      <protection locked="0"/>
    </xf>
    <xf numFmtId="0" fontId="29" fillId="11" borderId="17" xfId="4" applyFont="1" applyFill="1" applyBorder="1" applyAlignment="1" applyProtection="1">
      <alignment horizontal="center"/>
      <protection locked="0"/>
    </xf>
    <xf numFmtId="4" fontId="28" fillId="11" borderId="0" xfId="5" applyNumberFormat="1" applyFont="1" applyFill="1" applyBorder="1" applyAlignment="1" applyProtection="1">
      <alignment horizontal="center"/>
      <protection locked="0"/>
    </xf>
    <xf numFmtId="4" fontId="5" fillId="11" borderId="0" xfId="5" applyNumberFormat="1" applyFont="1" applyFill="1" applyBorder="1" applyAlignment="1" applyProtection="1">
      <alignment horizontal="center"/>
      <protection locked="0"/>
    </xf>
    <xf numFmtId="0" fontId="28" fillId="11" borderId="0" xfId="0" applyFont="1" applyFill="1" applyProtection="1">
      <protection locked="0"/>
    </xf>
    <xf numFmtId="0" fontId="27" fillId="11" borderId="0" xfId="6" applyFont="1" applyFill="1" applyBorder="1" applyAlignment="1" applyProtection="1">
      <protection locked="0"/>
    </xf>
    <xf numFmtId="0" fontId="28" fillId="11" borderId="0" xfId="0" applyFont="1" applyFill="1" applyAlignment="1" applyProtection="1">
      <protection locked="0"/>
    </xf>
    <xf numFmtId="0" fontId="29" fillId="11" borderId="17" xfId="2" applyFont="1" applyFill="1" applyBorder="1" applyAlignment="1" applyProtection="1">
      <alignment horizontal="left" vertical="top"/>
      <protection locked="0"/>
    </xf>
    <xf numFmtId="0" fontId="29" fillId="11" borderId="17" xfId="4" quotePrefix="1" applyFont="1" applyFill="1" applyBorder="1" applyAlignment="1" applyProtection="1">
      <alignment horizontal="left"/>
      <protection locked="0"/>
    </xf>
    <xf numFmtId="0" fontId="28" fillId="11" borderId="0" xfId="0" quotePrefix="1" applyFont="1" applyFill="1" applyAlignment="1" applyProtection="1">
      <protection locked="0"/>
    </xf>
    <xf numFmtId="2" fontId="28" fillId="11" borderId="0" xfId="0" applyNumberFormat="1" applyFont="1" applyFill="1" applyAlignment="1" applyProtection="1">
      <alignment horizontal="center"/>
      <protection locked="0"/>
    </xf>
    <xf numFmtId="4" fontId="28" fillId="11" borderId="0" xfId="5" applyNumberFormat="1" applyFont="1" applyFill="1" applyProtection="1">
      <protection locked="0"/>
    </xf>
    <xf numFmtId="2" fontId="28" fillId="11" borderId="0" xfId="2" applyNumberFormat="1" applyFont="1" applyFill="1" applyAlignment="1" applyProtection="1">
      <alignment horizontal="center"/>
      <protection locked="0"/>
    </xf>
    <xf numFmtId="4" fontId="5" fillId="11" borderId="0" xfId="5" applyNumberFormat="1" applyFont="1" applyFill="1" applyProtection="1">
      <protection locked="0"/>
    </xf>
    <xf numFmtId="0" fontId="0" fillId="0" borderId="0" xfId="0" applyAlignment="1" applyProtection="1">
      <protection locked="0"/>
    </xf>
    <xf numFmtId="0" fontId="26" fillId="7" borderId="11" xfId="0" quotePrefix="1" applyFont="1" applyFill="1" applyBorder="1" applyAlignment="1" applyProtection="1">
      <alignment horizontal="left"/>
      <protection locked="0"/>
    </xf>
    <xf numFmtId="43" fontId="0" fillId="7" borderId="12" xfId="5" applyFont="1" applyFill="1" applyBorder="1" applyProtection="1">
      <protection locked="0"/>
    </xf>
    <xf numFmtId="0" fontId="0" fillId="7" borderId="12" xfId="0" applyFont="1" applyFill="1" applyBorder="1" applyProtection="1">
      <protection locked="0"/>
    </xf>
    <xf numFmtId="0" fontId="0" fillId="7" borderId="13" xfId="0" applyFont="1" applyFill="1" applyBorder="1" applyProtection="1">
      <protection locked="0"/>
    </xf>
    <xf numFmtId="0" fontId="0" fillId="7" borderId="14" xfId="0" applyFont="1" applyFill="1" applyBorder="1" applyProtection="1">
      <protection locked="0"/>
    </xf>
    <xf numFmtId="43" fontId="21" fillId="7" borderId="0" xfId="5" applyFont="1" applyFill="1" applyBorder="1" applyProtection="1">
      <protection locked="0"/>
    </xf>
    <xf numFmtId="0" fontId="0" fillId="7" borderId="0" xfId="0" applyFont="1" applyFill="1" applyBorder="1" applyProtection="1">
      <protection locked="0"/>
    </xf>
    <xf numFmtId="0" fontId="0" fillId="7" borderId="15" xfId="0" applyFont="1" applyFill="1" applyBorder="1" applyProtection="1">
      <protection locked="0"/>
    </xf>
    <xf numFmtId="0" fontId="0" fillId="7" borderId="14" xfId="0" quotePrefix="1" applyFont="1" applyFill="1" applyBorder="1" applyAlignment="1" applyProtection="1">
      <alignment horizontal="left"/>
      <protection locked="0"/>
    </xf>
    <xf numFmtId="43" fontId="0" fillId="7" borderId="0" xfId="5" applyFont="1" applyFill="1" applyBorder="1" applyProtection="1">
      <protection locked="0"/>
    </xf>
    <xf numFmtId="0" fontId="0" fillId="7" borderId="16" xfId="0" applyFont="1" applyFill="1" applyBorder="1" applyProtection="1">
      <protection locked="0"/>
    </xf>
    <xf numFmtId="43" fontId="0" fillId="7" borderId="17" xfId="5" applyFont="1" applyFill="1" applyBorder="1" applyProtection="1">
      <protection locked="0"/>
    </xf>
    <xf numFmtId="0" fontId="0" fillId="7" borderId="17" xfId="0" applyFont="1" applyFill="1" applyBorder="1" applyProtection="1">
      <protection locked="0"/>
    </xf>
    <xf numFmtId="0" fontId="0" fillId="7" borderId="18" xfId="0" applyFont="1" applyFill="1" applyBorder="1" applyProtection="1">
      <protection locked="0"/>
    </xf>
    <xf numFmtId="0" fontId="26" fillId="8" borderId="11" xfId="0" quotePrefix="1" applyFont="1" applyFill="1" applyBorder="1" applyAlignment="1" applyProtection="1">
      <alignment horizontal="left"/>
      <protection locked="0"/>
    </xf>
    <xf numFmtId="43" fontId="0" fillId="8" borderId="12" xfId="5" applyFont="1" applyFill="1" applyBorder="1" applyProtection="1">
      <protection locked="0"/>
    </xf>
    <xf numFmtId="0" fontId="0" fillId="8" borderId="12" xfId="0" applyFont="1" applyFill="1" applyBorder="1" applyProtection="1">
      <protection locked="0"/>
    </xf>
    <xf numFmtId="0" fontId="0" fillId="8" borderId="13" xfId="0" applyFont="1" applyFill="1" applyBorder="1" applyProtection="1">
      <protection locked="0"/>
    </xf>
    <xf numFmtId="0" fontId="0" fillId="8" borderId="14" xfId="0" applyFont="1" applyFill="1" applyBorder="1" applyProtection="1">
      <protection locked="0"/>
    </xf>
    <xf numFmtId="43" fontId="21" fillId="8" borderId="0" xfId="5" applyFont="1" applyFill="1" applyBorder="1" applyProtection="1">
      <protection locked="0"/>
    </xf>
    <xf numFmtId="0" fontId="0" fillId="8" borderId="0" xfId="0" applyFont="1" applyFill="1" applyBorder="1" applyProtection="1">
      <protection locked="0"/>
    </xf>
    <xf numFmtId="0" fontId="0" fillId="8" borderId="15" xfId="0" applyFont="1" applyFill="1" applyBorder="1" applyProtection="1">
      <protection locked="0"/>
    </xf>
    <xf numFmtId="0" fontId="0" fillId="8" borderId="14" xfId="0" quotePrefix="1" applyFont="1" applyFill="1" applyBorder="1" applyAlignment="1" applyProtection="1">
      <alignment horizontal="left"/>
      <protection locked="0"/>
    </xf>
    <xf numFmtId="43" fontId="0" fillId="8" borderId="0" xfId="5" applyFont="1" applyFill="1" applyBorder="1" applyProtection="1">
      <protection locked="0"/>
    </xf>
    <xf numFmtId="0" fontId="0" fillId="8" borderId="16" xfId="0" applyFont="1" applyFill="1" applyBorder="1" applyProtection="1">
      <protection locked="0"/>
    </xf>
    <xf numFmtId="43" fontId="0" fillId="8" borderId="17" xfId="5" applyFont="1" applyFill="1" applyBorder="1" applyProtection="1">
      <protection locked="0"/>
    </xf>
    <xf numFmtId="0" fontId="0" fillId="8" borderId="17" xfId="0" applyFont="1" applyFill="1" applyBorder="1" applyProtection="1">
      <protection locked="0"/>
    </xf>
    <xf numFmtId="0" fontId="0" fillId="8" borderId="18" xfId="0" applyFont="1" applyFill="1" applyBorder="1" applyProtection="1">
      <protection locked="0"/>
    </xf>
    <xf numFmtId="0" fontId="26" fillId="9" borderId="11" xfId="0" quotePrefix="1" applyFont="1" applyFill="1" applyBorder="1" applyAlignment="1" applyProtection="1">
      <alignment horizontal="left"/>
      <protection locked="0"/>
    </xf>
    <xf numFmtId="43" fontId="0" fillId="9" borderId="12" xfId="5" applyFont="1" applyFill="1" applyBorder="1" applyProtection="1">
      <protection locked="0"/>
    </xf>
    <xf numFmtId="0" fontId="0" fillId="9" borderId="12" xfId="0" applyFont="1" applyFill="1" applyBorder="1" applyProtection="1">
      <protection locked="0"/>
    </xf>
    <xf numFmtId="0" fontId="0" fillId="9" borderId="13" xfId="0" applyFont="1" applyFill="1" applyBorder="1" applyProtection="1">
      <protection locked="0"/>
    </xf>
    <xf numFmtId="0" fontId="0" fillId="9" borderId="14" xfId="0" applyFont="1" applyFill="1" applyBorder="1" applyProtection="1">
      <protection locked="0"/>
    </xf>
    <xf numFmtId="43" fontId="21" fillId="9" borderId="0" xfId="5" applyFont="1" applyFill="1" applyBorder="1" applyProtection="1">
      <protection locked="0"/>
    </xf>
    <xf numFmtId="0" fontId="0" fillId="9" borderId="0" xfId="0" applyFont="1" applyFill="1" applyBorder="1" applyProtection="1">
      <protection locked="0"/>
    </xf>
    <xf numFmtId="0" fontId="0" fillId="9" borderId="15" xfId="0" applyFont="1" applyFill="1" applyBorder="1" applyProtection="1">
      <protection locked="0"/>
    </xf>
    <xf numFmtId="49" fontId="2" fillId="9" borderId="14" xfId="0" applyNumberFormat="1" applyFont="1" applyFill="1" applyBorder="1" applyAlignment="1" applyProtection="1">
      <alignment horizontal="left"/>
      <protection locked="0"/>
    </xf>
    <xf numFmtId="43" fontId="2" fillId="9" borderId="0" xfId="5" applyFont="1" applyFill="1" applyBorder="1" applyProtection="1">
      <protection locked="0"/>
    </xf>
    <xf numFmtId="43" fontId="5" fillId="9" borderId="0" xfId="5" applyFont="1" applyFill="1" applyBorder="1" applyProtection="1">
      <protection locked="0"/>
    </xf>
    <xf numFmtId="49" fontId="2" fillId="9" borderId="16" xfId="0" applyNumberFormat="1" applyFont="1" applyFill="1" applyBorder="1" applyAlignment="1" applyProtection="1">
      <alignment horizontal="left"/>
      <protection locked="0"/>
    </xf>
    <xf numFmtId="43" fontId="2" fillId="9" borderId="17" xfId="5" applyFont="1" applyFill="1" applyBorder="1" applyProtection="1">
      <protection locked="0"/>
    </xf>
    <xf numFmtId="43" fontId="5" fillId="9" borderId="17" xfId="5" applyFont="1" applyFill="1" applyBorder="1" applyProtection="1">
      <protection locked="0"/>
    </xf>
    <xf numFmtId="0" fontId="0" fillId="9" borderId="17" xfId="0" applyFont="1" applyFill="1" applyBorder="1" applyProtection="1">
      <protection locked="0"/>
    </xf>
    <xf numFmtId="0" fontId="0" fillId="9" borderId="18" xfId="0" applyFont="1" applyFill="1" applyBorder="1" applyProtection="1">
      <protection locked="0"/>
    </xf>
    <xf numFmtId="0" fontId="21" fillId="10" borderId="19" xfId="0" quotePrefix="1" applyFont="1" applyFill="1" applyBorder="1" applyAlignment="1" applyProtection="1">
      <alignment horizontal="left" vertical="top"/>
      <protection locked="0"/>
    </xf>
    <xf numFmtId="0" fontId="21" fillId="10" borderId="20" xfId="0" applyFont="1" applyFill="1" applyBorder="1" applyAlignment="1" applyProtection="1">
      <alignment vertical="top"/>
      <protection locked="0"/>
    </xf>
    <xf numFmtId="0" fontId="21" fillId="10" borderId="21" xfId="0" applyFont="1" applyFill="1" applyBorder="1" applyAlignment="1" applyProtection="1">
      <alignment vertical="top"/>
      <protection locked="0"/>
    </xf>
    <xf numFmtId="0" fontId="0" fillId="10" borderId="14" xfId="0" applyFill="1" applyBorder="1" applyAlignment="1" applyProtection="1">
      <alignment horizontal="left"/>
      <protection locked="0"/>
    </xf>
    <xf numFmtId="0" fontId="0" fillId="10" borderId="0" xfId="0" applyFill="1" applyBorder="1" applyAlignment="1" applyProtection="1">
      <alignment vertical="top" wrapText="1" indent="1"/>
      <protection locked="0"/>
    </xf>
    <xf numFmtId="0" fontId="0" fillId="10" borderId="15" xfId="0" applyFill="1" applyBorder="1" applyAlignment="1" applyProtection="1">
      <alignment horizontal="center" vertical="top" wrapText="1"/>
      <protection locked="0"/>
    </xf>
    <xf numFmtId="0" fontId="21" fillId="10" borderId="0" xfId="0" applyFont="1" applyFill="1" applyBorder="1" applyAlignment="1" applyProtection="1">
      <alignment vertical="top" wrapText="1" indent="1"/>
      <protection locked="0"/>
    </xf>
    <xf numFmtId="0" fontId="0" fillId="10" borderId="14" xfId="0" quotePrefix="1" applyFill="1" applyBorder="1" applyAlignment="1" applyProtection="1">
      <alignment horizontal="left"/>
      <protection locked="0"/>
    </xf>
    <xf numFmtId="0" fontId="0" fillId="10" borderId="16" xfId="0" applyFill="1" applyBorder="1" applyAlignment="1" applyProtection="1">
      <alignment horizontal="left"/>
      <protection locked="0"/>
    </xf>
    <xf numFmtId="0" fontId="0" fillId="10" borderId="17" xfId="0" applyFill="1" applyBorder="1" applyAlignment="1" applyProtection="1">
      <alignment vertical="top" wrapText="1" indent="1"/>
      <protection locked="0"/>
    </xf>
    <xf numFmtId="0" fontId="0" fillId="10" borderId="18" xfId="0" applyFill="1" applyBorder="1" applyAlignment="1" applyProtection="1">
      <alignment horizontal="center" vertical="top" wrapText="1"/>
      <protection locked="0"/>
    </xf>
    <xf numFmtId="0" fontId="7" fillId="0" borderId="0" xfId="10" applyFont="1" applyProtection="1">
      <protection locked="0"/>
    </xf>
    <xf numFmtId="0" fontId="43" fillId="0" borderId="0" xfId="10" quotePrefix="1" applyFont="1" applyAlignment="1" applyProtection="1">
      <alignment horizontal="left"/>
      <protection locked="0"/>
    </xf>
    <xf numFmtId="0" fontId="52" fillId="0" borderId="0" xfId="0" applyFont="1" applyAlignment="1" applyProtection="1">
      <alignment horizontal="left"/>
      <protection locked="0"/>
    </xf>
    <xf numFmtId="0" fontId="98" fillId="0" borderId="0" xfId="10" quotePrefix="1" applyFont="1" applyAlignment="1" applyProtection="1">
      <alignment horizontal="left"/>
    </xf>
    <xf numFmtId="0" fontId="55" fillId="11" borderId="0" xfId="0" quotePrefix="1" applyFont="1" applyFill="1" applyBorder="1" applyAlignment="1" applyProtection="1">
      <alignment horizontal="left"/>
    </xf>
    <xf numFmtId="0" fontId="55" fillId="0" borderId="0" xfId="0" quotePrefix="1" applyFont="1" applyAlignment="1" applyProtection="1">
      <alignment horizontal="left"/>
    </xf>
    <xf numFmtId="0" fontId="99" fillId="0" borderId="0" xfId="0" quotePrefix="1" applyFont="1" applyAlignment="1" applyProtection="1">
      <alignment horizontal="left"/>
    </xf>
    <xf numFmtId="0" fontId="100" fillId="0" borderId="0" xfId="0" quotePrefix="1" applyFont="1" applyAlignment="1" applyProtection="1">
      <alignment horizontal="left"/>
    </xf>
    <xf numFmtId="0" fontId="99" fillId="0" borderId="0" xfId="0" quotePrefix="1" applyFont="1" applyBorder="1" applyAlignment="1" applyProtection="1">
      <alignment horizontal="left" vertical="top"/>
    </xf>
    <xf numFmtId="0" fontId="99" fillId="11" borderId="0" xfId="0" quotePrefix="1" applyFont="1" applyFill="1" applyAlignment="1" applyProtection="1">
      <alignment horizontal="left"/>
    </xf>
    <xf numFmtId="164" fontId="99" fillId="0" borderId="0" xfId="5" quotePrefix="1" applyNumberFormat="1" applyFont="1" applyBorder="1" applyAlignment="1" applyProtection="1">
      <alignment horizontal="left"/>
    </xf>
    <xf numFmtId="0" fontId="101" fillId="0" borderId="0" xfId="0" quotePrefix="1" applyFont="1" applyAlignment="1" applyProtection="1">
      <alignment horizontal="left"/>
    </xf>
    <xf numFmtId="0" fontId="55" fillId="11" borderId="0" xfId="0" quotePrefix="1" applyFont="1" applyFill="1" applyAlignment="1" applyProtection="1">
      <alignment horizontal="left"/>
    </xf>
    <xf numFmtId="0" fontId="0" fillId="0" borderId="0" xfId="0" applyAlignment="1" applyProtection="1">
      <alignment wrapText="1"/>
      <protection locked="0"/>
    </xf>
    <xf numFmtId="0" fontId="28" fillId="11" borderId="0" xfId="2" applyFont="1" applyFill="1" applyBorder="1" applyAlignment="1" applyProtection="1">
      <alignment wrapText="1"/>
      <protection locked="0"/>
    </xf>
    <xf numFmtId="0" fontId="28" fillId="11" borderId="0" xfId="0" applyFont="1" applyFill="1" applyBorder="1" applyAlignment="1" applyProtection="1">
      <alignment wrapText="1"/>
      <protection locked="0"/>
    </xf>
    <xf numFmtId="0" fontId="21" fillId="0" borderId="2" xfId="0" quotePrefix="1" applyFont="1" applyBorder="1" applyAlignment="1" applyProtection="1">
      <alignment horizontal="center"/>
      <protection locked="0"/>
    </xf>
    <xf numFmtId="0" fontId="0" fillId="0" borderId="2" xfId="0" applyBorder="1" applyAlignment="1" applyProtection="1">
      <alignment horizontal="center"/>
      <protection locked="0"/>
    </xf>
    <xf numFmtId="0" fontId="67" fillId="15" borderId="0" xfId="0" applyFont="1" applyFill="1" applyAlignment="1" applyProtection="1">
      <alignment horizontal="center"/>
      <protection locked="0"/>
    </xf>
    <xf numFmtId="0" fontId="45" fillId="0" borderId="0" xfId="0" quotePrefix="1" applyFont="1" applyAlignment="1" applyProtection="1">
      <alignment horizontal="left" wrapText="1"/>
      <protection locked="0"/>
    </xf>
    <xf numFmtId="0" fontId="45" fillId="0" borderId="0" xfId="0" applyFont="1" applyAlignment="1" applyProtection="1">
      <alignment wrapText="1"/>
      <protection locked="0"/>
    </xf>
    <xf numFmtId="0" fontId="30" fillId="15" borderId="0" xfId="0" applyFont="1" applyFill="1" applyAlignment="1" applyProtection="1">
      <alignment horizontal="center"/>
      <protection locked="0"/>
    </xf>
    <xf numFmtId="49" fontId="77" fillId="15" borderId="0" xfId="21" applyNumberFormat="1" applyFont="1" applyFill="1" applyBorder="1" applyAlignment="1" applyProtection="1">
      <alignment horizontal="center"/>
      <protection locked="0"/>
    </xf>
    <xf numFmtId="49" fontId="77" fillId="15" borderId="0" xfId="22" applyNumberFormat="1" applyFont="1" applyFill="1" applyBorder="1" applyAlignment="1" applyProtection="1">
      <alignment horizontal="center"/>
      <protection locked="0"/>
    </xf>
    <xf numFmtId="0" fontId="87" fillId="0" borderId="0" xfId="0" applyFont="1" applyAlignment="1" applyProtection="1">
      <alignment vertical="top" wrapText="1"/>
      <protection locked="0"/>
    </xf>
    <xf numFmtId="0" fontId="96" fillId="0" borderId="39" xfId="0" applyFont="1" applyBorder="1" applyAlignment="1" applyProtection="1">
      <alignment horizontal="center" wrapText="1"/>
      <protection locked="0"/>
    </xf>
    <xf numFmtId="0" fontId="96" fillId="0" borderId="40" xfId="0" applyFont="1" applyBorder="1" applyAlignment="1" applyProtection="1">
      <alignment horizontal="center" wrapText="1"/>
      <protection locked="0"/>
    </xf>
    <xf numFmtId="0" fontId="96" fillId="0" borderId="41" xfId="0" applyFont="1" applyBorder="1" applyAlignment="1" applyProtection="1">
      <alignment horizontal="center" wrapText="1"/>
      <protection locked="0"/>
    </xf>
    <xf numFmtId="0" fontId="97" fillId="0" borderId="42" xfId="0" applyFont="1" applyBorder="1" applyAlignment="1" applyProtection="1">
      <alignment horizontal="center" wrapText="1"/>
      <protection locked="0"/>
    </xf>
    <xf numFmtId="0" fontId="97" fillId="0" borderId="43" xfId="0" applyFont="1" applyBorder="1" applyAlignment="1" applyProtection="1">
      <alignment horizontal="center" wrapText="1"/>
      <protection locked="0"/>
    </xf>
    <xf numFmtId="0" fontId="97" fillId="0" borderId="44" xfId="0" applyFont="1" applyBorder="1" applyAlignment="1" applyProtection="1">
      <alignment horizontal="center" wrapText="1"/>
      <protection locked="0"/>
    </xf>
    <xf numFmtId="0" fontId="96" fillId="0" borderId="45" xfId="0" applyFont="1" applyBorder="1" applyAlignment="1" applyProtection="1">
      <alignment horizontal="center" wrapText="1"/>
      <protection locked="0"/>
    </xf>
    <xf numFmtId="0" fontId="96" fillId="0" borderId="46" xfId="0" applyFont="1" applyBorder="1" applyAlignment="1" applyProtection="1">
      <alignment horizontal="center" wrapText="1"/>
      <protection locked="0"/>
    </xf>
    <xf numFmtId="0" fontId="0" fillId="0" borderId="0" xfId="0" applyAlignment="1" applyProtection="1">
      <alignment horizontal="left" vertical="top" wrapText="1"/>
      <protection locked="0"/>
    </xf>
    <xf numFmtId="0" fontId="102" fillId="0" borderId="0" xfId="0" applyFont="1" applyAlignment="1" applyProtection="1">
      <alignment horizontal="left"/>
      <protection locked="0"/>
    </xf>
    <xf numFmtId="0" fontId="103" fillId="0" borderId="0" xfId="11" applyFont="1" applyAlignment="1" applyProtection="1">
      <alignment horizontal="left"/>
      <protection locked="0"/>
    </xf>
  </cellXfs>
  <cellStyles count="23">
    <cellStyle name="20% - Accent1" xfId="2" builtinId="30"/>
    <cellStyle name="20% - Accent1_functionsamples" xfId="3"/>
    <cellStyle name="Accent1" xfId="4" builtinId="29"/>
    <cellStyle name="ColLabel" xfId="15"/>
    <cellStyle name="Comma" xfId="5" builtinId="3"/>
    <cellStyle name="Currency" xfId="12" builtinId="4"/>
    <cellStyle name="GroupGrandTotalRowLabel" xfId="20"/>
    <cellStyle name="GroupSubTotalRowLabel" xfId="18"/>
    <cellStyle name="GroupTotalRowLabel" xfId="19"/>
    <cellStyle name="Heading 1" xfId="6" builtinId="16"/>
    <cellStyle name="Heading 2" xfId="7" builtinId="17"/>
    <cellStyle name="Heading 3" xfId="8" builtinId="18"/>
    <cellStyle name="Hyperlink" xfId="11" builtinId="8"/>
    <cellStyle name="Normal" xfId="0" builtinId="0"/>
    <cellStyle name="Percent" xfId="9" builtinId="5"/>
    <cellStyle name="ReportHeader_CompanyName" xfId="21"/>
    <cellStyle name="ReportHeader_ReportTitle" xfId="22"/>
    <cellStyle name="RowLabel" xfId="17"/>
    <cellStyle name="RowLevel_1" xfId="1" builtinId="1" iLevel="0"/>
    <cellStyle name="SubTotal" xfId="16"/>
    <cellStyle name="Text" xfId="14"/>
    <cellStyle name="Title" xfId="10" builtinId="15"/>
    <cellStyle name="Total" xfId="13" builtinId="25"/>
  </cellStyles>
  <dxfs count="14">
    <dxf>
      <font>
        <b/>
        <i/>
        <condense val="0"/>
        <extend val="0"/>
        <color indexed="17"/>
      </font>
    </dxf>
    <dxf>
      <font>
        <b/>
        <i/>
        <condense val="0"/>
        <extend val="0"/>
        <color indexed="17"/>
      </font>
    </dxf>
    <dxf>
      <font>
        <b/>
        <i/>
        <condense val="0"/>
        <extend val="0"/>
        <color indexed="17"/>
      </font>
    </dxf>
    <dxf>
      <font>
        <b/>
        <i/>
        <condense val="0"/>
        <extend val="0"/>
        <color indexed="17"/>
      </font>
    </dxf>
    <dxf>
      <numFmt numFmtId="164" formatCode="_(* #,##0_);_(* \(#,##0\);_(* &quot;-&quot;??_);_(@_)"/>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s>
  <tableStyles count="0" defaultTableStyle="TableStyleMedium9" defaultPivotStyle="PivotStyleLight16"/>
  <colors>
    <mruColors>
      <color rgb="FFFFFFCC"/>
      <color rgb="FFCCFFFF"/>
      <color rgb="FFFFCCCC"/>
      <color rgb="FFCCECFF"/>
    </mruColors>
  </colors>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pivotCacheDefinition" Target="pivotCache/pivotCacheDefinition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gif"/><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142875</xdr:colOff>
      <xdr:row>0</xdr:row>
      <xdr:rowOff>95250</xdr:rowOff>
    </xdr:from>
    <xdr:to>
      <xdr:col>15</xdr:col>
      <xdr:colOff>514350</xdr:colOff>
      <xdr:row>18</xdr:row>
      <xdr:rowOff>28575</xdr:rowOff>
    </xdr:to>
    <xdr:pic>
      <xdr:nvPicPr>
        <xdr:cNvPr id="31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629275" y="95250"/>
          <a:ext cx="4029075" cy="3514725"/>
        </a:xfrm>
        <a:prstGeom prst="rect">
          <a:avLst/>
        </a:prstGeom>
        <a:noFill/>
        <a:ln w="1">
          <a:noFill/>
          <a:miter lim="800000"/>
          <a:headEnd/>
          <a:tailEnd/>
        </a:ln>
      </xdr:spPr>
    </xdr:pic>
    <xdr:clientData/>
  </xdr:twoCellAnchor>
  <xdr:twoCellAnchor editAs="oneCell">
    <xdr:from>
      <xdr:col>3</xdr:col>
      <xdr:colOff>381000</xdr:colOff>
      <xdr:row>22</xdr:row>
      <xdr:rowOff>47625</xdr:rowOff>
    </xdr:from>
    <xdr:to>
      <xdr:col>13</xdr:col>
      <xdr:colOff>0</xdr:colOff>
      <xdr:row>38</xdr:row>
      <xdr:rowOff>123825</xdr:rowOff>
    </xdr:to>
    <xdr:pic>
      <xdr:nvPicPr>
        <xdr:cNvPr id="311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2209800" y="4391025"/>
          <a:ext cx="5715000" cy="3124200"/>
        </a:xfrm>
        <a:prstGeom prst="rect">
          <a:avLst/>
        </a:prstGeom>
        <a:noFill/>
        <a:ln w="1">
          <a:noFill/>
          <a:miter lim="800000"/>
          <a:headEnd/>
          <a:tailEnd/>
        </a:ln>
      </xdr:spPr>
    </xdr:pic>
    <xdr:clientData/>
  </xdr:twoCellAnchor>
  <xdr:twoCellAnchor editAs="oneCell">
    <xdr:from>
      <xdr:col>0</xdr:col>
      <xdr:colOff>142875</xdr:colOff>
      <xdr:row>16</xdr:row>
      <xdr:rowOff>47625</xdr:rowOff>
    </xdr:from>
    <xdr:to>
      <xdr:col>9</xdr:col>
      <xdr:colOff>371475</xdr:colOff>
      <xdr:row>32</xdr:row>
      <xdr:rowOff>123825</xdr:rowOff>
    </xdr:to>
    <xdr:pic>
      <xdr:nvPicPr>
        <xdr:cNvPr id="3117"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142875" y="3248025"/>
          <a:ext cx="5715000" cy="3124200"/>
        </a:xfrm>
        <a:prstGeom prst="rect">
          <a:avLst/>
        </a:prstGeom>
        <a:noFill/>
        <a:ln w="1">
          <a:noFill/>
          <a:miter lim="800000"/>
          <a:headEnd/>
          <a:tailEnd/>
        </a:ln>
      </xdr:spPr>
    </xdr:pic>
    <xdr:clientData/>
  </xdr:twoCellAnchor>
  <xdr:oneCellAnchor>
    <xdr:from>
      <xdr:col>11</xdr:col>
      <xdr:colOff>66675</xdr:colOff>
      <xdr:row>26</xdr:row>
      <xdr:rowOff>95250</xdr:rowOff>
    </xdr:from>
    <xdr:ext cx="1547532" cy="292906"/>
    <xdr:sp macro="" textlink="">
      <xdr:nvSpPr>
        <xdr:cNvPr id="9" name="TextBox 8"/>
        <xdr:cNvSpPr txBox="1"/>
      </xdr:nvSpPr>
      <xdr:spPr>
        <a:xfrm>
          <a:off x="6772275" y="5200650"/>
          <a:ext cx="1490216" cy="264560"/>
        </a:xfrm>
        <a:prstGeom prst="rect">
          <a:avLst/>
        </a:prstGeom>
      </xdr:spPr>
      <xdr:style>
        <a:lnRef idx="1">
          <a:schemeClr val="accent1"/>
        </a:lnRef>
        <a:fillRef idx="3">
          <a:schemeClr val="accent1"/>
        </a:fillRef>
        <a:effectRef idx="2">
          <a:schemeClr val="accent1"/>
        </a:effectRef>
        <a:fontRef idx="minor">
          <a:schemeClr val="lt1"/>
        </a:fontRef>
      </xdr:style>
      <xdr:txBody>
        <a:bodyPr wrap="none" rtlCol="0" anchor="t">
          <a:spAutoFit/>
        </a:bodyPr>
        <a:lstStyle/>
        <a:p>
          <a:r>
            <a:rPr lang="en-US" sz="1100"/>
            <a:t>Argument descriptions</a:t>
          </a:r>
        </a:p>
      </xdr:txBody>
    </xdr:sp>
    <xdr:clientData/>
  </xdr:oneCellAnchor>
  <xdr:twoCellAnchor>
    <xdr:from>
      <xdr:col>9</xdr:col>
      <xdr:colOff>266701</xdr:colOff>
      <xdr:row>27</xdr:row>
      <xdr:rowOff>37030</xdr:rowOff>
    </xdr:from>
    <xdr:to>
      <xdr:col>11</xdr:col>
      <xdr:colOff>66676</xdr:colOff>
      <xdr:row>27</xdr:row>
      <xdr:rowOff>38100</xdr:rowOff>
    </xdr:to>
    <xdr:cxnSp macro="">
      <xdr:nvCxnSpPr>
        <xdr:cNvPr id="11" name="Straight Arrow Connector 10"/>
        <xdr:cNvCxnSpPr>
          <a:stCxn id="9" idx="1"/>
        </xdr:cNvCxnSpPr>
      </xdr:nvCxnSpPr>
      <xdr:spPr>
        <a:xfrm rot="10800000" flipV="1">
          <a:off x="5753101" y="5332930"/>
          <a:ext cx="1019175" cy="107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27</xdr:row>
      <xdr:rowOff>169311</xdr:rowOff>
    </xdr:from>
    <xdr:to>
      <xdr:col>12</xdr:col>
      <xdr:colOff>202183</xdr:colOff>
      <xdr:row>32</xdr:row>
      <xdr:rowOff>133351</xdr:rowOff>
    </xdr:to>
    <xdr:cxnSp macro="">
      <xdr:nvCxnSpPr>
        <xdr:cNvPr id="13" name="Elbow Connector 12"/>
        <xdr:cNvCxnSpPr>
          <a:stCxn id="9" idx="2"/>
        </xdr:cNvCxnSpPr>
      </xdr:nvCxnSpPr>
      <xdr:spPr>
        <a:xfrm rot="5400000">
          <a:off x="6691322" y="5555689"/>
          <a:ext cx="916540" cy="735583"/>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304800</xdr:colOff>
      <xdr:row>14</xdr:row>
      <xdr:rowOff>47625</xdr:rowOff>
    </xdr:to>
    <xdr:sp macro="" textlink="">
      <xdr:nvSpPr>
        <xdr:cNvPr id="2" name="AutoShape 1" descr="Show">
          <a:hlinkClick xmlns:r="http://schemas.openxmlformats.org/officeDocument/2006/relationships" r:id=""/>
        </xdr:cNvPr>
        <xdr:cNvSpPr>
          <a:spLocks noChangeAspect="1" noChangeArrowheads="1"/>
        </xdr:cNvSpPr>
      </xdr:nvSpPr>
      <xdr:spPr bwMode="auto">
        <a:xfrm>
          <a:off x="228600" y="4000500"/>
          <a:ext cx="304800" cy="304800"/>
        </a:xfrm>
        <a:prstGeom prst="rect">
          <a:avLst/>
        </a:prstGeom>
        <a:noFill/>
      </xdr:spPr>
    </xdr:sp>
    <xdr:clientData/>
  </xdr:twoCellAnchor>
  <xdr:twoCellAnchor editAs="oneCell">
    <xdr:from>
      <xdr:col>1</xdr:col>
      <xdr:colOff>0</xdr:colOff>
      <xdr:row>13</xdr:row>
      <xdr:rowOff>0</xdr:rowOff>
    </xdr:from>
    <xdr:to>
      <xdr:col>1</xdr:col>
      <xdr:colOff>304800</xdr:colOff>
      <xdr:row>14</xdr:row>
      <xdr:rowOff>47625</xdr:rowOff>
    </xdr:to>
    <xdr:sp macro="" textlink="">
      <xdr:nvSpPr>
        <xdr:cNvPr id="3" name="AutoShape 2" descr="Selecting an example from Help"/>
        <xdr:cNvSpPr>
          <a:spLocks noChangeAspect="1" noChangeArrowheads="1"/>
        </xdr:cNvSpPr>
      </xdr:nvSpPr>
      <xdr:spPr bwMode="auto">
        <a:xfrm>
          <a:off x="228600" y="4000500"/>
          <a:ext cx="304800" cy="3048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590550</xdr:colOff>
      <xdr:row>0</xdr:row>
      <xdr:rowOff>71642</xdr:rowOff>
    </xdr:from>
    <xdr:to>
      <xdr:col>9</xdr:col>
      <xdr:colOff>28575</xdr:colOff>
      <xdr:row>3</xdr:row>
      <xdr:rowOff>160156</xdr:rowOff>
    </xdr:to>
    <xdr:pic>
      <xdr:nvPicPr>
        <xdr:cNvPr id="7169" name="Picture 1" descr="http://midnightmakeout.com/wp-content/uploads/2009/03/girl-scout-cookie-season-1-19-071.jpg"/>
        <xdr:cNvPicPr>
          <a:picLocks noChangeAspect="1" noChangeArrowheads="1"/>
        </xdr:cNvPicPr>
      </xdr:nvPicPr>
      <xdr:blipFill>
        <a:blip xmlns:r="http://schemas.openxmlformats.org/officeDocument/2006/relationships" r:embed="rId1" cstate="print"/>
        <a:srcRect/>
        <a:stretch>
          <a:fillRect/>
        </a:stretch>
      </xdr:blipFill>
      <xdr:spPr bwMode="auto">
        <a:xfrm>
          <a:off x="6324600" y="71642"/>
          <a:ext cx="2085975" cy="87908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695325</xdr:colOff>
      <xdr:row>0</xdr:row>
      <xdr:rowOff>71642</xdr:rowOff>
    </xdr:from>
    <xdr:to>
      <xdr:col>9</xdr:col>
      <xdr:colOff>133350</xdr:colOff>
      <xdr:row>3</xdr:row>
      <xdr:rowOff>160156</xdr:rowOff>
    </xdr:to>
    <xdr:pic>
      <xdr:nvPicPr>
        <xdr:cNvPr id="2" name="Picture 1" descr="http://midnightmakeout.com/wp-content/uploads/2009/03/girl-scout-cookie-season-1-19-071.jpg"/>
        <xdr:cNvPicPr>
          <a:picLocks noChangeAspect="1" noChangeArrowheads="1"/>
        </xdr:cNvPicPr>
      </xdr:nvPicPr>
      <xdr:blipFill>
        <a:blip xmlns:r="http://schemas.openxmlformats.org/officeDocument/2006/relationships" r:embed="rId1" cstate="print"/>
        <a:srcRect/>
        <a:stretch>
          <a:fillRect/>
        </a:stretch>
      </xdr:blipFill>
      <xdr:spPr bwMode="auto">
        <a:xfrm>
          <a:off x="6429375" y="71642"/>
          <a:ext cx="2085975" cy="87908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542925</xdr:colOff>
      <xdr:row>1</xdr:row>
      <xdr:rowOff>238124</xdr:rowOff>
    </xdr:from>
    <xdr:to>
      <xdr:col>9</xdr:col>
      <xdr:colOff>200025</xdr:colOff>
      <xdr:row>19</xdr:row>
      <xdr:rowOff>161924</xdr:rowOff>
    </xdr:to>
    <xdr:sp macro="" textlink="">
      <xdr:nvSpPr>
        <xdr:cNvPr id="2" name="Rectangle 1"/>
        <xdr:cNvSpPr/>
      </xdr:nvSpPr>
      <xdr:spPr>
        <a:xfrm>
          <a:off x="5457825" y="533399"/>
          <a:ext cx="2790825" cy="3648075"/>
        </a:xfrm>
        <a:prstGeom prst="rect">
          <a:avLst/>
        </a:prstGeom>
        <a:no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895350</xdr:colOff>
      <xdr:row>13</xdr:row>
      <xdr:rowOff>9525</xdr:rowOff>
    </xdr:from>
    <xdr:to>
      <xdr:col>8</xdr:col>
      <xdr:colOff>38100</xdr:colOff>
      <xdr:row>15</xdr:row>
      <xdr:rowOff>146050</xdr:rowOff>
    </xdr:to>
    <xdr:sp macro="" textlink="">
      <xdr:nvSpPr>
        <xdr:cNvPr id="3" name="Freeform 2"/>
        <xdr:cNvSpPr/>
      </xdr:nvSpPr>
      <xdr:spPr>
        <a:xfrm>
          <a:off x="4276725" y="2505075"/>
          <a:ext cx="2962275" cy="536575"/>
        </a:xfrm>
        <a:custGeom>
          <a:avLst/>
          <a:gdLst>
            <a:gd name="connsiteX0" fmla="*/ 2962275 w 2962275"/>
            <a:gd name="connsiteY0" fmla="*/ 304800 h 536575"/>
            <a:gd name="connsiteX1" fmla="*/ 895350 w 2962275"/>
            <a:gd name="connsiteY1" fmla="*/ 485775 h 536575"/>
            <a:gd name="connsiteX2" fmla="*/ 0 w 2962275"/>
            <a:gd name="connsiteY2" fmla="*/ 0 h 536575"/>
          </a:gdLst>
          <a:ahLst/>
          <a:cxnLst>
            <a:cxn ang="0">
              <a:pos x="connsiteX0" y="connsiteY0"/>
            </a:cxn>
            <a:cxn ang="0">
              <a:pos x="connsiteX1" y="connsiteY1"/>
            </a:cxn>
            <a:cxn ang="0">
              <a:pos x="connsiteX2" y="connsiteY2"/>
            </a:cxn>
          </a:cxnLst>
          <a:rect l="l" t="t" r="r" b="b"/>
          <a:pathLst>
            <a:path w="2962275" h="536575">
              <a:moveTo>
                <a:pt x="2962275" y="304800"/>
              </a:moveTo>
              <a:cubicBezTo>
                <a:pt x="2175668" y="420687"/>
                <a:pt x="1389062" y="536575"/>
                <a:pt x="895350" y="485775"/>
              </a:cubicBezTo>
              <a:cubicBezTo>
                <a:pt x="401638" y="434975"/>
                <a:pt x="0" y="0"/>
                <a:pt x="0" y="0"/>
              </a:cubicBezTo>
            </a:path>
          </a:pathLst>
        </a:custGeom>
        <a:ln w="28575">
          <a:solidFill>
            <a:srgbClr val="FF0000"/>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4</xdr:col>
      <xdr:colOff>647700</xdr:colOff>
      <xdr:row>15</xdr:row>
      <xdr:rowOff>190500</xdr:rowOff>
    </xdr:from>
    <xdr:to>
      <xdr:col>10</xdr:col>
      <xdr:colOff>152400</xdr:colOff>
      <xdr:row>24</xdr:row>
      <xdr:rowOff>1587</xdr:rowOff>
    </xdr:to>
    <xdr:sp macro="" textlink="">
      <xdr:nvSpPr>
        <xdr:cNvPr id="4" name="Freeform 3"/>
        <xdr:cNvSpPr/>
      </xdr:nvSpPr>
      <xdr:spPr>
        <a:xfrm>
          <a:off x="4029075" y="3086100"/>
          <a:ext cx="4781550" cy="1649412"/>
        </a:xfrm>
        <a:custGeom>
          <a:avLst/>
          <a:gdLst>
            <a:gd name="connsiteX0" fmla="*/ 0 w 4781550"/>
            <a:gd name="connsiteY0" fmla="*/ 476250 h 1649412"/>
            <a:gd name="connsiteX1" fmla="*/ 1590675 w 4781550"/>
            <a:gd name="connsiteY1" fmla="*/ 1495425 h 1649412"/>
            <a:gd name="connsiteX2" fmla="*/ 4238625 w 4781550"/>
            <a:gd name="connsiteY2" fmla="*/ 1400175 h 1649412"/>
            <a:gd name="connsiteX3" fmla="*/ 4752975 w 4781550"/>
            <a:gd name="connsiteY3" fmla="*/ 219075 h 1649412"/>
            <a:gd name="connsiteX4" fmla="*/ 4067175 w 4781550"/>
            <a:gd name="connsiteY4" fmla="*/ 85725 h 164941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81550" h="1649412">
              <a:moveTo>
                <a:pt x="0" y="476250"/>
              </a:moveTo>
              <a:cubicBezTo>
                <a:pt x="442119" y="908844"/>
                <a:pt x="884238" y="1341438"/>
                <a:pt x="1590675" y="1495425"/>
              </a:cubicBezTo>
              <a:cubicBezTo>
                <a:pt x="2297112" y="1649412"/>
                <a:pt x="3711575" y="1612900"/>
                <a:pt x="4238625" y="1400175"/>
              </a:cubicBezTo>
              <a:cubicBezTo>
                <a:pt x="4765675" y="1187450"/>
                <a:pt x="4781550" y="438150"/>
                <a:pt x="4752975" y="219075"/>
              </a:cubicBezTo>
              <a:cubicBezTo>
                <a:pt x="4724400" y="0"/>
                <a:pt x="4067175" y="85725"/>
                <a:pt x="4067175" y="85725"/>
              </a:cubicBezTo>
            </a:path>
          </a:pathLst>
        </a:custGeom>
        <a:ln w="28575">
          <a:solidFill>
            <a:srgbClr val="FF0000"/>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466725</xdr:colOff>
      <xdr:row>8</xdr:row>
      <xdr:rowOff>47625</xdr:rowOff>
    </xdr:from>
    <xdr:to>
      <xdr:col>11</xdr:col>
      <xdr:colOff>600075</xdr:colOff>
      <xdr:row>22</xdr:row>
      <xdr:rowOff>19050</xdr:rowOff>
    </xdr:to>
    <xdr:pic>
      <xdr:nvPicPr>
        <xdr:cNvPr id="18433" name="Picture 1" descr="http://www.reallyfunnypictures.co.uk/coolpictures/pics/16.09.06/gangsta_gadget.jpg"/>
        <xdr:cNvPicPr>
          <a:picLocks noChangeAspect="1" noChangeArrowheads="1"/>
        </xdr:cNvPicPr>
      </xdr:nvPicPr>
      <xdr:blipFill>
        <a:blip xmlns:r="http://schemas.openxmlformats.org/officeDocument/2006/relationships" r:embed="rId1" cstate="print"/>
        <a:srcRect/>
        <a:stretch>
          <a:fillRect/>
        </a:stretch>
      </xdr:blipFill>
      <xdr:spPr bwMode="auto">
        <a:xfrm>
          <a:off x="5267325" y="1952625"/>
          <a:ext cx="4095750" cy="2857500"/>
        </a:xfrm>
        <a:prstGeom prst="rect">
          <a:avLst/>
        </a:prstGeom>
        <a:noFill/>
      </xdr:spPr>
    </xdr:pic>
    <xdr:clientData/>
  </xdr:twoCellAnchor>
  <xdr:twoCellAnchor>
    <xdr:from>
      <xdr:col>0</xdr:col>
      <xdr:colOff>514350</xdr:colOff>
      <xdr:row>10</xdr:row>
      <xdr:rowOff>104775</xdr:rowOff>
    </xdr:from>
    <xdr:to>
      <xdr:col>6</xdr:col>
      <xdr:colOff>142875</xdr:colOff>
      <xdr:row>20</xdr:row>
      <xdr:rowOff>133350</xdr:rowOff>
    </xdr:to>
    <xdr:sp macro="" textlink="">
      <xdr:nvSpPr>
        <xdr:cNvPr id="3" name="Rectangle 2"/>
        <xdr:cNvSpPr/>
      </xdr:nvSpPr>
      <xdr:spPr>
        <a:xfrm>
          <a:off x="514350" y="2609850"/>
          <a:ext cx="4010025" cy="2114550"/>
        </a:xfrm>
        <a:prstGeom prst="rect">
          <a:avLst/>
        </a:prstGeom>
        <a:noFill/>
        <a:ln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542925</xdr:colOff>
      <xdr:row>1</xdr:row>
      <xdr:rowOff>238124</xdr:rowOff>
    </xdr:from>
    <xdr:to>
      <xdr:col>9</xdr:col>
      <xdr:colOff>200025</xdr:colOff>
      <xdr:row>19</xdr:row>
      <xdr:rowOff>161924</xdr:rowOff>
    </xdr:to>
    <xdr:sp macro="" textlink="">
      <xdr:nvSpPr>
        <xdr:cNvPr id="2" name="Rectangle 1"/>
        <xdr:cNvSpPr/>
      </xdr:nvSpPr>
      <xdr:spPr>
        <a:xfrm>
          <a:off x="5457825" y="533399"/>
          <a:ext cx="2790825" cy="3648075"/>
        </a:xfrm>
        <a:prstGeom prst="rect">
          <a:avLst/>
        </a:prstGeom>
        <a:no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895350</xdr:colOff>
      <xdr:row>13</xdr:row>
      <xdr:rowOff>9525</xdr:rowOff>
    </xdr:from>
    <xdr:to>
      <xdr:col>8</xdr:col>
      <xdr:colOff>38100</xdr:colOff>
      <xdr:row>15</xdr:row>
      <xdr:rowOff>146050</xdr:rowOff>
    </xdr:to>
    <xdr:sp macro="" textlink="">
      <xdr:nvSpPr>
        <xdr:cNvPr id="3" name="Freeform 2"/>
        <xdr:cNvSpPr/>
      </xdr:nvSpPr>
      <xdr:spPr>
        <a:xfrm>
          <a:off x="4276725" y="2800350"/>
          <a:ext cx="2962275" cy="536575"/>
        </a:xfrm>
        <a:custGeom>
          <a:avLst/>
          <a:gdLst>
            <a:gd name="connsiteX0" fmla="*/ 2962275 w 2962275"/>
            <a:gd name="connsiteY0" fmla="*/ 304800 h 536575"/>
            <a:gd name="connsiteX1" fmla="*/ 895350 w 2962275"/>
            <a:gd name="connsiteY1" fmla="*/ 485775 h 536575"/>
            <a:gd name="connsiteX2" fmla="*/ 0 w 2962275"/>
            <a:gd name="connsiteY2" fmla="*/ 0 h 536575"/>
          </a:gdLst>
          <a:ahLst/>
          <a:cxnLst>
            <a:cxn ang="0">
              <a:pos x="connsiteX0" y="connsiteY0"/>
            </a:cxn>
            <a:cxn ang="0">
              <a:pos x="connsiteX1" y="connsiteY1"/>
            </a:cxn>
            <a:cxn ang="0">
              <a:pos x="connsiteX2" y="connsiteY2"/>
            </a:cxn>
          </a:cxnLst>
          <a:rect l="l" t="t" r="r" b="b"/>
          <a:pathLst>
            <a:path w="2962275" h="536575">
              <a:moveTo>
                <a:pt x="2962275" y="304800"/>
              </a:moveTo>
              <a:cubicBezTo>
                <a:pt x="2175668" y="420687"/>
                <a:pt x="1389062" y="536575"/>
                <a:pt x="895350" y="485775"/>
              </a:cubicBezTo>
              <a:cubicBezTo>
                <a:pt x="401638" y="434975"/>
                <a:pt x="0" y="0"/>
                <a:pt x="0" y="0"/>
              </a:cubicBezTo>
            </a:path>
          </a:pathLst>
        </a:custGeom>
        <a:ln w="28575">
          <a:solidFill>
            <a:srgbClr val="FF0000"/>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4</xdr:col>
      <xdr:colOff>647700</xdr:colOff>
      <xdr:row>15</xdr:row>
      <xdr:rowOff>190500</xdr:rowOff>
    </xdr:from>
    <xdr:to>
      <xdr:col>10</xdr:col>
      <xdr:colOff>152400</xdr:colOff>
      <xdr:row>24</xdr:row>
      <xdr:rowOff>1587</xdr:rowOff>
    </xdr:to>
    <xdr:sp macro="" textlink="">
      <xdr:nvSpPr>
        <xdr:cNvPr id="4" name="Freeform 3"/>
        <xdr:cNvSpPr/>
      </xdr:nvSpPr>
      <xdr:spPr>
        <a:xfrm>
          <a:off x="4029075" y="3381375"/>
          <a:ext cx="4781550" cy="1649412"/>
        </a:xfrm>
        <a:custGeom>
          <a:avLst/>
          <a:gdLst>
            <a:gd name="connsiteX0" fmla="*/ 0 w 4781550"/>
            <a:gd name="connsiteY0" fmla="*/ 476250 h 1649412"/>
            <a:gd name="connsiteX1" fmla="*/ 1590675 w 4781550"/>
            <a:gd name="connsiteY1" fmla="*/ 1495425 h 1649412"/>
            <a:gd name="connsiteX2" fmla="*/ 4238625 w 4781550"/>
            <a:gd name="connsiteY2" fmla="*/ 1400175 h 1649412"/>
            <a:gd name="connsiteX3" fmla="*/ 4752975 w 4781550"/>
            <a:gd name="connsiteY3" fmla="*/ 219075 h 1649412"/>
            <a:gd name="connsiteX4" fmla="*/ 4067175 w 4781550"/>
            <a:gd name="connsiteY4" fmla="*/ 85725 h 164941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81550" h="1649412">
              <a:moveTo>
                <a:pt x="0" y="476250"/>
              </a:moveTo>
              <a:cubicBezTo>
                <a:pt x="442119" y="908844"/>
                <a:pt x="884238" y="1341438"/>
                <a:pt x="1590675" y="1495425"/>
              </a:cubicBezTo>
              <a:cubicBezTo>
                <a:pt x="2297112" y="1649412"/>
                <a:pt x="3711575" y="1612900"/>
                <a:pt x="4238625" y="1400175"/>
              </a:cubicBezTo>
              <a:cubicBezTo>
                <a:pt x="4765675" y="1187450"/>
                <a:pt x="4781550" y="438150"/>
                <a:pt x="4752975" y="219075"/>
              </a:cubicBezTo>
              <a:cubicBezTo>
                <a:pt x="4724400" y="0"/>
                <a:pt x="4067175" y="85725"/>
                <a:pt x="4067175" y="85725"/>
              </a:cubicBezTo>
            </a:path>
          </a:pathLst>
        </a:custGeom>
        <a:ln w="28575">
          <a:solidFill>
            <a:srgbClr val="FF0000"/>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101600</xdr:colOff>
      <xdr:row>39</xdr:row>
      <xdr:rowOff>85725</xdr:rowOff>
    </xdr:from>
    <xdr:to>
      <xdr:col>20</xdr:col>
      <xdr:colOff>66675</xdr:colOff>
      <xdr:row>46</xdr:row>
      <xdr:rowOff>180975</xdr:rowOff>
    </xdr:to>
    <xdr:sp macro="" textlink="">
      <xdr:nvSpPr>
        <xdr:cNvPr id="3" name="Rectangular Callout 2"/>
        <xdr:cNvSpPr/>
      </xdr:nvSpPr>
      <xdr:spPr>
        <a:xfrm>
          <a:off x="21310600" y="8975725"/>
          <a:ext cx="1425575" cy="1428750"/>
        </a:xfrm>
        <a:prstGeom prst="wedgeRectCallout">
          <a:avLst>
            <a:gd name="adj1" fmla="val 18093"/>
            <a:gd name="adj2" fmla="val -91640"/>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2. The String without spaces is 73 characters long</a:t>
          </a:r>
          <a:endParaRPr lang="en-US" sz="1100"/>
        </a:p>
      </xdr:txBody>
    </xdr:sp>
    <xdr:clientData/>
  </xdr:twoCellAnchor>
  <xdr:twoCellAnchor>
    <xdr:from>
      <xdr:col>15</xdr:col>
      <xdr:colOff>635000</xdr:colOff>
      <xdr:row>39</xdr:row>
      <xdr:rowOff>85725</xdr:rowOff>
    </xdr:from>
    <xdr:to>
      <xdr:col>17</xdr:col>
      <xdr:colOff>584200</xdr:colOff>
      <xdr:row>46</xdr:row>
      <xdr:rowOff>180975</xdr:rowOff>
    </xdr:to>
    <xdr:sp macro="" textlink="">
      <xdr:nvSpPr>
        <xdr:cNvPr id="4" name="Rectangular Callout 3"/>
        <xdr:cNvSpPr/>
      </xdr:nvSpPr>
      <xdr:spPr>
        <a:xfrm>
          <a:off x="19653250" y="8975725"/>
          <a:ext cx="1409700" cy="1428750"/>
        </a:xfrm>
        <a:prstGeom prst="wedgeRectCallout">
          <a:avLst>
            <a:gd name="adj1" fmla="val 18093"/>
            <a:gd name="adj2" fmla="val -91640"/>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1. The total String is 80 characters long</a:t>
          </a:r>
          <a:endParaRPr lang="en-US" sz="1100"/>
        </a:p>
      </xdr:txBody>
    </xdr:sp>
    <xdr:clientData/>
  </xdr:twoCellAnchor>
  <xdr:twoCellAnchor>
    <xdr:from>
      <xdr:col>16</xdr:col>
      <xdr:colOff>714375</xdr:colOff>
      <xdr:row>47</xdr:row>
      <xdr:rowOff>104776</xdr:rowOff>
    </xdr:from>
    <xdr:to>
      <xdr:col>19</xdr:col>
      <xdr:colOff>47625</xdr:colOff>
      <xdr:row>49</xdr:row>
      <xdr:rowOff>66676</xdr:rowOff>
    </xdr:to>
    <xdr:sp macro="" textlink="">
      <xdr:nvSpPr>
        <xdr:cNvPr id="6" name="TextBox 5"/>
        <xdr:cNvSpPr txBox="1"/>
      </xdr:nvSpPr>
      <xdr:spPr>
        <a:xfrm>
          <a:off x="20462875" y="10518776"/>
          <a:ext cx="15240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t>80 - 73 = 7</a:t>
          </a:r>
        </a:p>
      </xdr:txBody>
    </xdr:sp>
    <xdr:clientData/>
  </xdr:twoCellAnchor>
  <xdr:twoCellAnchor>
    <xdr:from>
      <xdr:col>14</xdr:col>
      <xdr:colOff>352422</xdr:colOff>
      <xdr:row>26</xdr:row>
      <xdr:rowOff>7408</xdr:rowOff>
    </xdr:from>
    <xdr:to>
      <xdr:col>16</xdr:col>
      <xdr:colOff>291038</xdr:colOff>
      <xdr:row>32</xdr:row>
      <xdr:rowOff>189441</xdr:rowOff>
    </xdr:to>
    <xdr:sp macro="" textlink="">
      <xdr:nvSpPr>
        <xdr:cNvPr id="7" name="Rectangular Callout 6"/>
        <xdr:cNvSpPr/>
      </xdr:nvSpPr>
      <xdr:spPr>
        <a:xfrm>
          <a:off x="18640422" y="6198658"/>
          <a:ext cx="1399116" cy="1515533"/>
        </a:xfrm>
        <a:prstGeom prst="wedgeRectCallout">
          <a:avLst>
            <a:gd name="adj1" fmla="val -19910"/>
            <a:gd name="adj2" fmla="val 79449"/>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3. This substitutes  "#" for the last space</a:t>
          </a:r>
          <a:endParaRPr lang="en-US" sz="1100"/>
        </a:p>
      </xdr:txBody>
    </xdr:sp>
    <xdr:clientData/>
  </xdr:twoCellAnchor>
  <xdr:twoCellAnchor>
    <xdr:from>
      <xdr:col>12</xdr:col>
      <xdr:colOff>296333</xdr:colOff>
      <xdr:row>26</xdr:row>
      <xdr:rowOff>0</xdr:rowOff>
    </xdr:from>
    <xdr:to>
      <xdr:col>14</xdr:col>
      <xdr:colOff>236008</xdr:colOff>
      <xdr:row>32</xdr:row>
      <xdr:rowOff>182033</xdr:rowOff>
    </xdr:to>
    <xdr:sp macro="" textlink="">
      <xdr:nvSpPr>
        <xdr:cNvPr id="8" name="Rectangular Callout 7"/>
        <xdr:cNvSpPr/>
      </xdr:nvSpPr>
      <xdr:spPr>
        <a:xfrm>
          <a:off x="17123833" y="6191250"/>
          <a:ext cx="1400175" cy="1515533"/>
        </a:xfrm>
        <a:prstGeom prst="wedgeRectCallout">
          <a:avLst>
            <a:gd name="adj1" fmla="val 21819"/>
            <a:gd name="adj2" fmla="val 82941"/>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4. This Searches for the "#" and determines position (63)</a:t>
          </a:r>
        </a:p>
      </xdr:txBody>
    </xdr:sp>
    <xdr:clientData/>
  </xdr:twoCellAnchor>
  <xdr:twoCellAnchor>
    <xdr:from>
      <xdr:col>11</xdr:col>
      <xdr:colOff>476249</xdr:colOff>
      <xdr:row>39</xdr:row>
      <xdr:rowOff>52915</xdr:rowOff>
    </xdr:from>
    <xdr:to>
      <xdr:col>13</xdr:col>
      <xdr:colOff>424391</xdr:colOff>
      <xdr:row>46</xdr:row>
      <xdr:rowOff>148165</xdr:rowOff>
    </xdr:to>
    <xdr:sp macro="" textlink="">
      <xdr:nvSpPr>
        <xdr:cNvPr id="9" name="Rectangular Callout 8"/>
        <xdr:cNvSpPr/>
      </xdr:nvSpPr>
      <xdr:spPr>
        <a:xfrm>
          <a:off x="16573499" y="8942915"/>
          <a:ext cx="1408642" cy="1428750"/>
        </a:xfrm>
        <a:prstGeom prst="wedgeRectCallout">
          <a:avLst>
            <a:gd name="adj1" fmla="val 18093"/>
            <a:gd name="adj2" fmla="val -91640"/>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5. This calculates the number of characters after the "#"</a:t>
          </a:r>
          <a:endParaRPr lang="en-US" sz="1100"/>
        </a:p>
      </xdr:txBody>
    </xdr:sp>
    <xdr:clientData/>
  </xdr:twoCellAnchor>
  <xdr:twoCellAnchor>
    <xdr:from>
      <xdr:col>8</xdr:col>
      <xdr:colOff>2698751</xdr:colOff>
      <xdr:row>30</xdr:row>
      <xdr:rowOff>127000</xdr:rowOff>
    </xdr:from>
    <xdr:to>
      <xdr:col>10</xdr:col>
      <xdr:colOff>487892</xdr:colOff>
      <xdr:row>37</xdr:row>
      <xdr:rowOff>158750</xdr:rowOff>
    </xdr:to>
    <xdr:sp macro="" textlink="">
      <xdr:nvSpPr>
        <xdr:cNvPr id="10" name="Rectangular Callout 9"/>
        <xdr:cNvSpPr/>
      </xdr:nvSpPr>
      <xdr:spPr>
        <a:xfrm>
          <a:off x="14414501" y="7207250"/>
          <a:ext cx="1440391" cy="1460500"/>
        </a:xfrm>
        <a:prstGeom prst="wedgeRectCallout">
          <a:avLst>
            <a:gd name="adj1" fmla="val 91918"/>
            <a:gd name="adj2" fmla="val 20332"/>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6. This starts at the right and grabs the 17 characters</a:t>
          </a:r>
          <a:r>
            <a:rPr lang="en-US" sz="1600" baseline="0"/>
            <a:t> after the "#"</a:t>
          </a:r>
          <a:endParaRPr lang="en-US" sz="1100"/>
        </a:p>
      </xdr:txBody>
    </xdr:sp>
    <xdr:clientData/>
  </xdr:twoCellAnchor>
  <xdr:twoCellAnchor>
    <xdr:from>
      <xdr:col>11</xdr:col>
      <xdr:colOff>381000</xdr:colOff>
      <xdr:row>48</xdr:row>
      <xdr:rowOff>0</xdr:rowOff>
    </xdr:from>
    <xdr:to>
      <xdr:col>13</xdr:col>
      <xdr:colOff>424392</xdr:colOff>
      <xdr:row>49</xdr:row>
      <xdr:rowOff>162983</xdr:rowOff>
    </xdr:to>
    <xdr:sp macro="" textlink="">
      <xdr:nvSpPr>
        <xdr:cNvPr id="11" name="TextBox 10"/>
        <xdr:cNvSpPr txBox="1"/>
      </xdr:nvSpPr>
      <xdr:spPr>
        <a:xfrm>
          <a:off x="16478250" y="10604500"/>
          <a:ext cx="1503892" cy="353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t>80 - 63 = 17</a:t>
          </a:r>
        </a:p>
      </xdr:txBody>
    </xdr:sp>
    <xdr:clientData/>
  </xdr:twoCellAnchor>
  <xdr:twoCellAnchor editAs="oneCell">
    <xdr:from>
      <xdr:col>3</xdr:col>
      <xdr:colOff>523874</xdr:colOff>
      <xdr:row>24</xdr:row>
      <xdr:rowOff>111125</xdr:rowOff>
    </xdr:from>
    <xdr:to>
      <xdr:col>7</xdr:col>
      <xdr:colOff>380999</xdr:colOff>
      <xdr:row>46</xdr:row>
      <xdr:rowOff>146050</xdr:rowOff>
    </xdr:to>
    <xdr:pic>
      <xdr:nvPicPr>
        <xdr:cNvPr id="3379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445374" y="5889625"/>
          <a:ext cx="8493125" cy="4718050"/>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819150</xdr:colOff>
      <xdr:row>3</xdr:row>
      <xdr:rowOff>123825</xdr:rowOff>
    </xdr:from>
    <xdr:to>
      <xdr:col>4</xdr:col>
      <xdr:colOff>371475</xdr:colOff>
      <xdr:row>8</xdr:row>
      <xdr:rowOff>0</xdr:rowOff>
    </xdr:to>
    <xdr:pic>
      <xdr:nvPicPr>
        <xdr:cNvPr id="552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524375" y="904875"/>
          <a:ext cx="4562475" cy="876300"/>
        </a:xfrm>
        <a:prstGeom prst="rect">
          <a:avLst/>
        </a:prstGeom>
        <a:noFill/>
        <a:ln w="1">
          <a:noFill/>
          <a:miter lim="800000"/>
          <a:headEnd/>
          <a:tailEnd type="none" w="med" len="med"/>
        </a:ln>
        <a:effectLst/>
      </xdr:spPr>
    </xdr:pic>
    <xdr:clientData/>
  </xdr:twoCellAnchor>
  <xdr:twoCellAnchor editAs="oneCell">
    <xdr:from>
      <xdr:col>0</xdr:col>
      <xdr:colOff>371475</xdr:colOff>
      <xdr:row>14</xdr:row>
      <xdr:rowOff>171450</xdr:rowOff>
    </xdr:from>
    <xdr:to>
      <xdr:col>2</xdr:col>
      <xdr:colOff>323850</xdr:colOff>
      <xdr:row>18</xdr:row>
      <xdr:rowOff>188234</xdr:rowOff>
    </xdr:to>
    <xdr:pic>
      <xdr:nvPicPr>
        <xdr:cNvPr id="55298" name="Picture 2" descr="http://www.justice.gov/jmd/ps/maree100.gif"/>
        <xdr:cNvPicPr>
          <a:picLocks noChangeAspect="1" noChangeArrowheads="1"/>
        </xdr:cNvPicPr>
      </xdr:nvPicPr>
      <xdr:blipFill>
        <a:blip xmlns:r="http://schemas.openxmlformats.org/officeDocument/2006/relationships" r:embed="rId2" cstate="print"/>
        <a:srcRect/>
        <a:stretch>
          <a:fillRect/>
        </a:stretch>
      </xdr:blipFill>
      <xdr:spPr bwMode="auto">
        <a:xfrm>
          <a:off x="371475" y="3152775"/>
          <a:ext cx="3657600" cy="157888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xdr:col>
      <xdr:colOff>304800</xdr:colOff>
      <xdr:row>16</xdr:row>
      <xdr:rowOff>47625</xdr:rowOff>
    </xdr:to>
    <xdr:sp macro="" textlink="">
      <xdr:nvSpPr>
        <xdr:cNvPr id="2" name="AutoShape 1" descr="Show">
          <a:hlinkClick xmlns:r="http://schemas.openxmlformats.org/officeDocument/2006/relationships" r:id=""/>
        </xdr:cNvPr>
        <xdr:cNvSpPr>
          <a:spLocks noChangeAspect="1" noChangeArrowheads="1"/>
        </xdr:cNvSpPr>
      </xdr:nvSpPr>
      <xdr:spPr bwMode="auto">
        <a:xfrm>
          <a:off x="228600" y="4076700"/>
          <a:ext cx="304800" cy="304800"/>
        </a:xfrm>
        <a:prstGeom prst="rect">
          <a:avLst/>
        </a:prstGeom>
        <a:noFill/>
      </xdr:spPr>
    </xdr:sp>
    <xdr:clientData/>
  </xdr:twoCellAnchor>
  <xdr:twoCellAnchor editAs="oneCell">
    <xdr:from>
      <xdr:col>1</xdr:col>
      <xdr:colOff>0</xdr:colOff>
      <xdr:row>15</xdr:row>
      <xdr:rowOff>0</xdr:rowOff>
    </xdr:from>
    <xdr:to>
      <xdr:col>1</xdr:col>
      <xdr:colOff>304800</xdr:colOff>
      <xdr:row>16</xdr:row>
      <xdr:rowOff>47625</xdr:rowOff>
    </xdr:to>
    <xdr:sp macro="" textlink="">
      <xdr:nvSpPr>
        <xdr:cNvPr id="3" name="AutoShape 2" descr="Selecting an example from Help"/>
        <xdr:cNvSpPr>
          <a:spLocks noChangeAspect="1" noChangeArrowheads="1"/>
        </xdr:cNvSpPr>
      </xdr:nvSpPr>
      <xdr:spPr bwMode="auto">
        <a:xfrm>
          <a:off x="228600" y="4076700"/>
          <a:ext cx="304800" cy="304800"/>
        </a:xfrm>
        <a:prstGeom prst="rect">
          <a:avLst/>
        </a:prstGeom>
        <a:noFill/>
      </xdr:spPr>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arlton" refreshedDate="40261.41507800926" createdVersion="3" refreshedVersion="3" minRefreshableVersion="3" recordCount="153">
  <cacheSource type="worksheet">
    <worksheetSource ref="A62:J215" sheet="65 GETPIVOTDATA"/>
  </cacheSource>
  <cacheFields count="10">
    <cacheField name="Staff" numFmtId="0">
      <sharedItems count="16">
        <s v="Abby"/>
        <s v="Bill"/>
        <s v="Brenda"/>
        <s v="Jennifer"/>
        <s v="Jesseca"/>
        <s v="John"/>
        <s v="Kathleen"/>
        <s v="Keith"/>
        <s v="Martha"/>
        <s v="Martin"/>
        <s v="nancy"/>
        <s v="Phil"/>
        <s v="Sam"/>
        <s v="Sandra"/>
        <s v="Steve"/>
        <s v="Kevin"/>
      </sharedItems>
    </cacheField>
    <cacheField name="Month" numFmtId="0">
      <sharedItems count="4">
        <s v="January"/>
        <s v="March"/>
        <s v="April"/>
        <s v="February"/>
      </sharedItems>
    </cacheField>
    <cacheField name="Work" numFmtId="0">
      <sharedItems containsMixedTypes="1" containsNumber="1" containsInteger="1" minValue="1040" maxValue="1120"/>
    </cacheField>
    <cacheField name="Partner" numFmtId="0">
      <sharedItems/>
    </cacheField>
    <cacheField name="Client" numFmtId="0">
      <sharedItems/>
    </cacheField>
    <cacheField name="Type" numFmtId="0">
      <sharedItems/>
    </cacheField>
    <cacheField name="Hours" numFmtId="168">
      <sharedItems containsSemiMixedTypes="0" containsString="0" containsNumber="1" minValue="2" maxValue="32"/>
    </cacheField>
    <cacheField name="Billings" numFmtId="164">
      <sharedItems containsSemiMixedTypes="0" containsString="0" containsNumber="1" minValue="150" maxValue="4000"/>
    </cacheField>
    <cacheField name="Budget" numFmtId="164">
      <sharedItems containsSemiMixedTypes="0" containsString="0" containsNumber="1" minValue="148.5" maxValue="5400"/>
    </cacheField>
    <cacheField name="Under/Over" numFmtId="164">
      <sharedItems containsSemiMixedTypes="0" containsString="0" containsNumber="1" minValue="-1400" maxValue="320"/>
    </cacheField>
  </cacheFields>
</pivotCacheDefinition>
</file>

<file path=xl/pivotCache/pivotCacheRecords1.xml><?xml version="1.0" encoding="utf-8"?>
<pivotCacheRecords xmlns="http://schemas.openxmlformats.org/spreadsheetml/2006/main" xmlns:r="http://schemas.openxmlformats.org/officeDocument/2006/relationships" count="153">
  <r>
    <x v="0"/>
    <x v="0"/>
    <n v="1040"/>
    <s v="Coleman"/>
    <s v="Lisa Sullivan"/>
    <s v="Individual"/>
    <n v="19"/>
    <n v="1425"/>
    <n v="1311"/>
    <n v="114"/>
  </r>
  <r>
    <x v="1"/>
    <x v="1"/>
    <n v="1065"/>
    <s v="Coleman"/>
    <s v="Sam's Services"/>
    <s v="Corporate"/>
    <n v="22"/>
    <n v="1650"/>
    <n v="1848"/>
    <n v="-198"/>
  </r>
  <r>
    <x v="2"/>
    <x v="2"/>
    <s v="Financial Planning"/>
    <s v="Smith"/>
    <s v="Betty Harrington"/>
    <s v="Individual"/>
    <n v="10.199999999999999"/>
    <n v="1020"/>
    <n v="1377"/>
    <n v="-357"/>
  </r>
  <r>
    <x v="3"/>
    <x v="1"/>
    <n v="1065"/>
    <s v="Coleman"/>
    <s v="Lisa Sullivan"/>
    <s v="Individual"/>
    <n v="18.399999999999999"/>
    <n v="630"/>
    <n v="705.6"/>
    <n v="-75.600000000000023"/>
  </r>
  <r>
    <x v="3"/>
    <x v="0"/>
    <n v="1120"/>
    <s v="Coleman"/>
    <s v="Sam's Services"/>
    <s v="Corporate"/>
    <n v="32"/>
    <n v="2400"/>
    <n v="2208"/>
    <n v="192"/>
  </r>
  <r>
    <x v="3"/>
    <x v="1"/>
    <n v="1040"/>
    <s v="Coleman"/>
    <s v="Tony Davis"/>
    <s v="Individual"/>
    <n v="2.6"/>
    <n v="195"/>
    <n v="218.4"/>
    <n v="-23.400000000000006"/>
  </r>
  <r>
    <x v="4"/>
    <x v="1"/>
    <n v="1040"/>
    <s v="Coleman"/>
    <s v="Betty Harrington"/>
    <s v="Individual"/>
    <n v="19"/>
    <n v="1900"/>
    <n v="2128"/>
    <n v="-228"/>
  </r>
  <r>
    <x v="4"/>
    <x v="1"/>
    <n v="1120"/>
    <s v="Coleman"/>
    <s v="Course Concrete"/>
    <s v="Corporate"/>
    <n v="17"/>
    <n v="1700"/>
    <n v="1904"/>
    <n v="-204"/>
  </r>
  <r>
    <x v="5"/>
    <x v="1"/>
    <n v="1040"/>
    <s v="Coleman"/>
    <s v="Mindy Simmon"/>
    <s v="Individual"/>
    <n v="16"/>
    <n v="1600"/>
    <n v="1792"/>
    <n v="-192"/>
  </r>
  <r>
    <x v="4"/>
    <x v="0"/>
    <n v="1040"/>
    <s v="Coleman"/>
    <s v="Molly Francis"/>
    <s v="Individual"/>
    <n v="3.5"/>
    <n v="350"/>
    <n v="322"/>
    <n v="28"/>
  </r>
  <r>
    <x v="4"/>
    <x v="0"/>
    <n v="1040"/>
    <s v="Coleman"/>
    <s v="Robert Kennedy"/>
    <s v="Individual"/>
    <n v="3.7"/>
    <n v="370"/>
    <n v="340.4"/>
    <n v="29.600000000000023"/>
  </r>
  <r>
    <x v="4"/>
    <x v="1"/>
    <n v="1040"/>
    <s v="Coleman"/>
    <s v="Robert Kennedy"/>
    <s v="Individual"/>
    <n v="8.4"/>
    <n v="840"/>
    <n v="940.8"/>
    <n v="-100.79999999999995"/>
  </r>
  <r>
    <x v="4"/>
    <x v="1"/>
    <n v="1040"/>
    <s v="Coleman"/>
    <s v="Tommy Pruitt"/>
    <s v="Individual"/>
    <n v="8"/>
    <n v="800"/>
    <n v="896"/>
    <n v="-96"/>
  </r>
  <r>
    <x v="4"/>
    <x v="0"/>
    <n v="1040"/>
    <s v="Coleman"/>
    <s v="Tommy Pruitt"/>
    <s v="Individual"/>
    <n v="6"/>
    <n v="600"/>
    <n v="552"/>
    <n v="48"/>
  </r>
  <r>
    <x v="5"/>
    <x v="1"/>
    <n v="1120"/>
    <s v="Coleman"/>
    <s v="Camera Shot"/>
    <s v="Corporate"/>
    <n v="2"/>
    <n v="150"/>
    <n v="168"/>
    <n v="-18"/>
  </r>
  <r>
    <x v="6"/>
    <x v="2"/>
    <n v="1040"/>
    <s v="Coleman"/>
    <s v="Robert Kennedy"/>
    <s v="Individual"/>
    <n v="2"/>
    <n v="200"/>
    <n v="270"/>
    <n v="-70"/>
  </r>
  <r>
    <x v="7"/>
    <x v="3"/>
    <n v="1040"/>
    <s v="Coleman"/>
    <s v="Mindy Simmon"/>
    <s v="Individual"/>
    <n v="32"/>
    <n v="3200"/>
    <n v="3168"/>
    <n v="32"/>
  </r>
  <r>
    <x v="8"/>
    <x v="3"/>
    <n v="1120"/>
    <s v="Coleman"/>
    <s v="Course Concrete"/>
    <s v="Corporate"/>
    <n v="8"/>
    <n v="800"/>
    <n v="792"/>
    <n v="8"/>
  </r>
  <r>
    <x v="8"/>
    <x v="2"/>
    <s v="Fidiciary"/>
    <s v="Coleman"/>
    <s v="Molly Francis"/>
    <s v="Individual"/>
    <n v="6"/>
    <n v="600"/>
    <n v="810"/>
    <n v="-210"/>
  </r>
  <r>
    <x v="9"/>
    <x v="2"/>
    <s v="Fidiciary"/>
    <s v="Coleman"/>
    <s v="Boris Tellman"/>
    <s v="Individual"/>
    <n v="6"/>
    <n v="750"/>
    <n v="1012.5"/>
    <n v="-262.5"/>
  </r>
  <r>
    <x v="9"/>
    <x v="3"/>
    <n v="1040"/>
    <s v="Coleman"/>
    <s v="Boris Tellman"/>
    <s v="Individual"/>
    <n v="3.5"/>
    <n v="437.5"/>
    <n v="433.125"/>
    <n v="4.375"/>
  </r>
  <r>
    <x v="9"/>
    <x v="3"/>
    <n v="1040"/>
    <s v="Coleman"/>
    <s v="Charlie Sullivan"/>
    <s v="Individual"/>
    <n v="2"/>
    <n v="250"/>
    <n v="247.5"/>
    <n v="2.5"/>
  </r>
  <r>
    <x v="9"/>
    <x v="2"/>
    <n v="1040"/>
    <s v="Coleman"/>
    <s v="Charlie Sullivan"/>
    <s v="Individual"/>
    <n v="10.199999999999999"/>
    <n v="1275"/>
    <n v="1721.25"/>
    <n v="-446.25"/>
  </r>
  <r>
    <x v="9"/>
    <x v="2"/>
    <n v="1120"/>
    <s v="Coleman"/>
    <s v="Door to Door, Inc."/>
    <s v="Corporate"/>
    <n v="12"/>
    <n v="1500"/>
    <n v="2025"/>
    <n v="-525"/>
  </r>
  <r>
    <x v="9"/>
    <x v="3"/>
    <n v="1040"/>
    <s v="Coleman"/>
    <s v="Doug Thomas"/>
    <s v="Individual"/>
    <n v="4.5"/>
    <n v="562.5"/>
    <n v="556.875"/>
    <n v="5.625"/>
  </r>
  <r>
    <x v="9"/>
    <x v="2"/>
    <n v="1065"/>
    <s v="Coleman"/>
    <s v="Granite Right"/>
    <s v="Corporate"/>
    <n v="8"/>
    <n v="1000"/>
    <n v="1350"/>
    <n v="-350"/>
  </r>
  <r>
    <x v="9"/>
    <x v="2"/>
    <n v="1040"/>
    <s v="Coleman"/>
    <s v="Joey Rayhoney"/>
    <s v="Individual"/>
    <n v="4"/>
    <n v="500"/>
    <n v="675"/>
    <n v="-175"/>
  </r>
  <r>
    <x v="9"/>
    <x v="3"/>
    <s v="Fidiciary"/>
    <s v="Coleman"/>
    <s v="Joey Rayhoney"/>
    <s v="Individual"/>
    <n v="2.4"/>
    <n v="300"/>
    <n v="297"/>
    <n v="3"/>
  </r>
  <r>
    <x v="9"/>
    <x v="3"/>
    <s v="Fidiciary"/>
    <s v="Coleman"/>
    <s v="Mars, Inc."/>
    <s v="Corporate"/>
    <n v="8.4"/>
    <n v="1050"/>
    <n v="1039.5"/>
    <n v="10.5"/>
  </r>
  <r>
    <x v="9"/>
    <x v="2"/>
    <n v="1120"/>
    <s v="Coleman"/>
    <s v="Mars, Inc."/>
    <s v="Corporate"/>
    <n v="19"/>
    <n v="2375"/>
    <n v="3206.25"/>
    <n v="-831.25"/>
  </r>
  <r>
    <x v="9"/>
    <x v="3"/>
    <n v="1120"/>
    <s v="Coleman"/>
    <s v="Plasma Medical"/>
    <s v="Corporate"/>
    <n v="3.7"/>
    <n v="462.5"/>
    <n v="457.875"/>
    <n v="4.625"/>
  </r>
  <r>
    <x v="10"/>
    <x v="3"/>
    <n v="1040"/>
    <s v="Coleman"/>
    <s v="Betty Harrington"/>
    <s v="Individual"/>
    <n v="17"/>
    <n v="1700"/>
    <n v="1683"/>
    <n v="17"/>
  </r>
  <r>
    <x v="10"/>
    <x v="2"/>
    <n v="1065"/>
    <s v="Coleman"/>
    <s v="Course Concrete"/>
    <s v="Corporate"/>
    <n v="19"/>
    <n v="1900"/>
    <n v="2565"/>
    <n v="-665"/>
  </r>
  <r>
    <x v="10"/>
    <x v="3"/>
    <n v="1040"/>
    <s v="Coleman"/>
    <s v="Molly Francis"/>
    <s v="Individual"/>
    <n v="5.5"/>
    <n v="550"/>
    <n v="544.5"/>
    <n v="5.5"/>
  </r>
  <r>
    <x v="11"/>
    <x v="2"/>
    <s v="Property Taxes"/>
    <s v="Coleman"/>
    <s v="Camera Shot"/>
    <s v="Corporate"/>
    <n v="3.7"/>
    <n v="277.5"/>
    <n v="374.625"/>
    <n v="-97.125"/>
  </r>
  <r>
    <x v="11"/>
    <x v="3"/>
    <n v="1120"/>
    <s v="Coleman"/>
    <s v="Camera Shot"/>
    <s v="Corporate"/>
    <n v="8.4"/>
    <n v="630"/>
    <n v="623.70000000000005"/>
    <n v="6.2999999999999545"/>
  </r>
  <r>
    <x v="11"/>
    <x v="2"/>
    <n v="1120"/>
    <s v="Coleman"/>
    <s v="Clothes Barn"/>
    <s v="Corporate"/>
    <n v="2.6"/>
    <n v="195"/>
    <n v="263.25"/>
    <n v="-68.25"/>
  </r>
  <r>
    <x v="11"/>
    <x v="3"/>
    <s v="Fidiciary"/>
    <s v="Coleman"/>
    <s v="Clothes Barn"/>
    <s v="Corporate"/>
    <n v="12.9"/>
    <n v="967.5"/>
    <n v="957.82500000000005"/>
    <n v="9.6749999999999545"/>
  </r>
  <r>
    <x v="11"/>
    <x v="3"/>
    <n v="1040"/>
    <s v="Coleman"/>
    <s v="Lisa Sullivan"/>
    <s v="Individual"/>
    <n v="10.199999999999999"/>
    <n v="765"/>
    <n v="757.35"/>
    <n v="7.6499999999999773"/>
  </r>
  <r>
    <x v="11"/>
    <x v="3"/>
    <n v="1120"/>
    <s v="Coleman"/>
    <s v="Sam's Services"/>
    <s v="Corporate"/>
    <n v="16"/>
    <n v="1200"/>
    <n v="1188"/>
    <n v="12"/>
  </r>
  <r>
    <x v="11"/>
    <x v="2"/>
    <n v="1040"/>
    <s v="Coleman"/>
    <s v="Tony Davis"/>
    <s v="Individual"/>
    <n v="9"/>
    <n v="675"/>
    <n v="911.25"/>
    <n v="-236.25"/>
  </r>
  <r>
    <x v="11"/>
    <x v="3"/>
    <n v="1040"/>
    <s v="Coleman"/>
    <s v="Tony Davis"/>
    <s v="Individual"/>
    <n v="2.9"/>
    <n v="217.5"/>
    <n v="215.32499999999999"/>
    <n v="2.1750000000000114"/>
  </r>
  <r>
    <x v="12"/>
    <x v="1"/>
    <n v="1065"/>
    <s v="Coleman"/>
    <s v="Clothes Barn"/>
    <s v="Corporate"/>
    <n v="2.9"/>
    <n v="217.5"/>
    <n v="243.6"/>
    <n v="-26.099999999999994"/>
  </r>
  <r>
    <x v="13"/>
    <x v="1"/>
    <n v="1040"/>
    <s v="Coleman"/>
    <s v="Boris Tellman"/>
    <s v="Individual"/>
    <n v="5.5"/>
    <n v="687.5"/>
    <n v="770"/>
    <n v="-82.5"/>
  </r>
  <r>
    <x v="13"/>
    <x v="0"/>
    <n v="1040"/>
    <s v="Coleman"/>
    <s v="Charlie Sullivan"/>
    <s v="Individual"/>
    <n v="8.4"/>
    <n v="1050"/>
    <n v="966"/>
    <n v="84"/>
  </r>
  <r>
    <x v="13"/>
    <x v="0"/>
    <n v="1120"/>
    <s v="Coleman"/>
    <s v="Door to Door, Inc."/>
    <s v="Corporate"/>
    <n v="32"/>
    <n v="4000"/>
    <n v="3680"/>
    <n v="320"/>
  </r>
  <r>
    <x v="13"/>
    <x v="1"/>
    <n v="1120"/>
    <s v="Coleman"/>
    <s v="Door to Door, Inc."/>
    <s v="Corporate"/>
    <n v="14"/>
    <n v="1750"/>
    <n v="1960"/>
    <n v="-210"/>
  </r>
  <r>
    <x v="13"/>
    <x v="1"/>
    <n v="1040"/>
    <s v="Coleman"/>
    <s v="Doug Thomas"/>
    <s v="Individual"/>
    <n v="6"/>
    <n v="750"/>
    <n v="840"/>
    <n v="-90"/>
  </r>
  <r>
    <x v="13"/>
    <x v="0"/>
    <n v="1040"/>
    <s v="Coleman"/>
    <s v="Doug Thomas"/>
    <s v="Individual"/>
    <n v="3.7"/>
    <n v="462.5"/>
    <n v="425.5"/>
    <n v="37"/>
  </r>
  <r>
    <x v="13"/>
    <x v="0"/>
    <n v="1120"/>
    <s v="Coleman"/>
    <s v="Granite Right"/>
    <s v="Corporate"/>
    <n v="17"/>
    <n v="2125"/>
    <n v="1955"/>
    <n v="170"/>
  </r>
  <r>
    <x v="13"/>
    <x v="1"/>
    <n v="1120"/>
    <s v="Coleman"/>
    <s v="Granite Right"/>
    <s v="Corporate"/>
    <n v="4"/>
    <n v="500"/>
    <n v="560"/>
    <n v="-60"/>
  </r>
  <r>
    <x v="13"/>
    <x v="1"/>
    <n v="1040"/>
    <s v="Coleman"/>
    <s v="Joey Rayhoney"/>
    <s v="Individual"/>
    <n v="6"/>
    <n v="750"/>
    <n v="840"/>
    <n v="-90"/>
  </r>
  <r>
    <x v="13"/>
    <x v="0"/>
    <n v="1120"/>
    <s v="Coleman"/>
    <s v="Mars, Inc."/>
    <s v="Corporate"/>
    <n v="10.199999999999999"/>
    <n v="1275"/>
    <n v="1173"/>
    <n v="102"/>
  </r>
  <r>
    <x v="13"/>
    <x v="1"/>
    <s v="Financial Planning"/>
    <s v="Coleman"/>
    <s v="Plasma Medical"/>
    <s v="Corporate"/>
    <n v="4.5"/>
    <n v="562.5"/>
    <n v="630"/>
    <n v="-67.5"/>
  </r>
  <r>
    <x v="13"/>
    <x v="0"/>
    <n v="1120"/>
    <s v="Coleman"/>
    <s v="Plasma Medical"/>
    <s v="Corporate"/>
    <n v="2"/>
    <n v="250"/>
    <n v="230"/>
    <n v="20"/>
  </r>
  <r>
    <x v="14"/>
    <x v="2"/>
    <n v="1040"/>
    <s v="Coleman"/>
    <s v="Mindy Simmon"/>
    <s v="Individual"/>
    <n v="22"/>
    <n v="2200"/>
    <n v="2970"/>
    <n v="-770"/>
  </r>
  <r>
    <x v="14"/>
    <x v="3"/>
    <n v="1040"/>
    <s v="Coleman"/>
    <s v="Tommy Pruitt"/>
    <s v="Individual"/>
    <n v="4"/>
    <n v="400"/>
    <n v="396"/>
    <n v="4"/>
  </r>
  <r>
    <x v="1"/>
    <x v="0"/>
    <n v="1040"/>
    <s v="Johnson"/>
    <s v="Pam Duncan"/>
    <s v="Individual"/>
    <n v="6"/>
    <n v="450"/>
    <n v="414"/>
    <n v="36"/>
  </r>
  <r>
    <x v="1"/>
    <x v="1"/>
    <n v="1040"/>
    <s v="Johnson"/>
    <s v="Peter Hanson"/>
    <s v="Individual"/>
    <n v="5"/>
    <n v="375"/>
    <n v="420"/>
    <n v="-45"/>
  </r>
  <r>
    <x v="1"/>
    <x v="0"/>
    <n v="1120"/>
    <s v="Johnson"/>
    <s v="Simpson"/>
    <s v="Corporate"/>
    <n v="17"/>
    <n v="1275"/>
    <n v="1173"/>
    <n v="102"/>
  </r>
  <r>
    <x v="2"/>
    <x v="2"/>
    <n v="1120"/>
    <s v="Johnson"/>
    <s v="Catcher's Creamery"/>
    <s v="Corporate"/>
    <n v="2.6"/>
    <n v="260"/>
    <n v="351"/>
    <n v="-91"/>
  </r>
  <r>
    <x v="2"/>
    <x v="3"/>
    <n v="1120"/>
    <s v="Johnson"/>
    <s v="Fancy Daze"/>
    <s v="Corporate"/>
    <n v="6"/>
    <n v="600"/>
    <n v="594"/>
    <n v="6"/>
  </r>
  <r>
    <x v="3"/>
    <x v="1"/>
    <n v="1040"/>
    <s v="Johnson"/>
    <s v="Pam Duncan"/>
    <s v="Individual"/>
    <n v="3.5"/>
    <n v="262.5"/>
    <n v="294"/>
    <n v="-31.5"/>
  </r>
  <r>
    <x v="4"/>
    <x v="0"/>
    <s v="Financial Planning"/>
    <s v="Johnson"/>
    <s v="Beverly Crusher"/>
    <s v="Individual"/>
    <n v="5"/>
    <n v="500"/>
    <n v="460"/>
    <n v="40"/>
  </r>
  <r>
    <x v="4"/>
    <x v="1"/>
    <s v="Fidiciary"/>
    <s v="Johnson"/>
    <s v="Books O'Toole"/>
    <s v="Corporate"/>
    <n v="4"/>
    <n v="400"/>
    <n v="448"/>
    <n v="-48"/>
  </r>
  <r>
    <x v="4"/>
    <x v="0"/>
    <n v="1120"/>
    <s v="Johnson"/>
    <s v="Books O'Toole"/>
    <s v="Corporate"/>
    <n v="2.4"/>
    <n v="240"/>
    <n v="220.8"/>
    <n v="19.199999999999989"/>
  </r>
  <r>
    <x v="4"/>
    <x v="0"/>
    <n v="1065"/>
    <s v="Johnson"/>
    <s v="Cascade, Inc."/>
    <s v="Corporate"/>
    <n v="4.5"/>
    <n v="450"/>
    <n v="414"/>
    <n v="36"/>
  </r>
  <r>
    <x v="4"/>
    <x v="0"/>
    <n v="1120"/>
    <s v="Johnson"/>
    <s v="Catcher's Creamery"/>
    <s v="Corporate"/>
    <n v="9"/>
    <n v="900"/>
    <n v="828"/>
    <n v="72"/>
  </r>
  <r>
    <x v="4"/>
    <x v="0"/>
    <n v="1040"/>
    <s v="Johnson"/>
    <s v="David Pollack"/>
    <s v="Individual"/>
    <n v="2.6"/>
    <n v="260"/>
    <n v="239.2"/>
    <n v="20.800000000000011"/>
  </r>
  <r>
    <x v="4"/>
    <x v="1"/>
    <s v="Financial Planning"/>
    <s v="Johnson"/>
    <s v="David Pollack"/>
    <s v="Individual"/>
    <n v="12.9"/>
    <n v="1290"/>
    <n v="1444.8"/>
    <n v="-154.79999999999995"/>
  </r>
  <r>
    <x v="4"/>
    <x v="1"/>
    <n v="1120"/>
    <s v="Johnson"/>
    <s v="Fancy Daze"/>
    <s v="Corporate"/>
    <n v="14"/>
    <n v="1400"/>
    <n v="1568"/>
    <n v="-168"/>
  </r>
  <r>
    <x v="4"/>
    <x v="0"/>
    <n v="1120"/>
    <s v="Johnson"/>
    <s v="Fancy Daze"/>
    <s v="Corporate"/>
    <n v="5.5"/>
    <n v="550"/>
    <n v="506"/>
    <n v="44"/>
  </r>
  <r>
    <x v="4"/>
    <x v="1"/>
    <n v="1120"/>
    <s v="Johnson"/>
    <s v="Superior Pans"/>
    <s v="Corporate"/>
    <n v="32"/>
    <n v="3200"/>
    <n v="3584"/>
    <n v="-384"/>
  </r>
  <r>
    <x v="6"/>
    <x v="3"/>
    <n v="1040"/>
    <s v="Johnson"/>
    <s v="Beverly Crusher"/>
    <s v="Individual"/>
    <n v="2.4"/>
    <n v="240"/>
    <n v="237.6"/>
    <n v="2.4000000000000057"/>
  </r>
  <r>
    <x v="6"/>
    <x v="3"/>
    <n v="1120"/>
    <s v="Johnson"/>
    <s v="Superior Pans"/>
    <s v="Corporate"/>
    <n v="12"/>
    <n v="1200"/>
    <n v="1188"/>
    <n v="12"/>
  </r>
  <r>
    <x v="7"/>
    <x v="3"/>
    <s v="Financial Planning"/>
    <s v="Johnson"/>
    <s v="Books O'Toole"/>
    <s v="Corporate"/>
    <n v="6"/>
    <n v="600"/>
    <n v="594"/>
    <n v="6"/>
  </r>
  <r>
    <x v="7"/>
    <x v="2"/>
    <n v="1120"/>
    <s v="Johnson"/>
    <s v="Cascade, Inc."/>
    <s v="Corporate"/>
    <n v="3.7"/>
    <n v="370"/>
    <n v="499.5"/>
    <n v="-129.5"/>
  </r>
  <r>
    <x v="7"/>
    <x v="2"/>
    <n v="1065"/>
    <s v="Johnson"/>
    <s v="Superior Pans"/>
    <s v="Corporate"/>
    <n v="16"/>
    <n v="1600"/>
    <n v="2160"/>
    <n v="-560"/>
  </r>
  <r>
    <x v="15"/>
    <x v="2"/>
    <n v="1040"/>
    <s v="Johnson"/>
    <s v="Beverly Crusher"/>
    <s v="Individual"/>
    <n v="9"/>
    <n v="900"/>
    <n v="1215"/>
    <n v="-315"/>
  </r>
  <r>
    <x v="15"/>
    <x v="3"/>
    <n v="1120"/>
    <s v="Johnson"/>
    <s v="Catcher's Creamery"/>
    <s v="Corporate"/>
    <n v="5"/>
    <n v="500"/>
    <n v="495"/>
    <n v="5"/>
  </r>
  <r>
    <x v="9"/>
    <x v="2"/>
    <n v="1120"/>
    <s v="Johnson"/>
    <s v="Bessy Boats"/>
    <s v="Corporate"/>
    <n v="6"/>
    <n v="750"/>
    <n v="1012.5"/>
    <n v="-262.5"/>
  </r>
  <r>
    <x v="9"/>
    <x v="3"/>
    <s v="Financial Planning"/>
    <s v="Johnson"/>
    <s v="Bessy Boats"/>
    <s v="Corporate"/>
    <n v="5"/>
    <n v="625"/>
    <n v="618.75"/>
    <n v="6.25"/>
  </r>
  <r>
    <x v="9"/>
    <x v="2"/>
    <n v="1040"/>
    <s v="Johnson"/>
    <s v="Debbie Mavormat"/>
    <s v="Individual"/>
    <n v="17"/>
    <n v="2125"/>
    <n v="2868.75"/>
    <n v="-743.75"/>
  </r>
  <r>
    <x v="9"/>
    <x v="3"/>
    <n v="1120"/>
    <s v="Johnson"/>
    <s v="Harold Mason, Inc."/>
    <s v="Corporate"/>
    <n v="12.9"/>
    <n v="1612.5"/>
    <n v="1596.375"/>
    <n v="16.125"/>
  </r>
  <r>
    <x v="9"/>
    <x v="2"/>
    <n v="1120"/>
    <s v="Johnson"/>
    <s v="Harold Mason, Inc."/>
    <s v="Corporate"/>
    <n v="16"/>
    <n v="2000"/>
    <n v="2700"/>
    <n v="-700"/>
  </r>
  <r>
    <x v="9"/>
    <x v="2"/>
    <n v="1040"/>
    <s v="Johnson"/>
    <s v="Janet Miller"/>
    <s v="Individual"/>
    <n v="14"/>
    <n v="1750"/>
    <n v="2362.5"/>
    <n v="-612.5"/>
  </r>
  <r>
    <x v="9"/>
    <x v="3"/>
    <n v="1040"/>
    <s v="Johnson"/>
    <s v="Janet Miller"/>
    <s v="Individual"/>
    <n v="5.5"/>
    <n v="687.5"/>
    <n v="680.625"/>
    <n v="6.875"/>
  </r>
  <r>
    <x v="10"/>
    <x v="2"/>
    <n v="1040"/>
    <s v="Johnson"/>
    <s v="David Pollack"/>
    <s v="Individual"/>
    <n v="2.9"/>
    <n v="290"/>
    <n v="391.5"/>
    <n v="-101.5"/>
  </r>
  <r>
    <x v="11"/>
    <x v="2"/>
    <s v="Financial Planning"/>
    <s v="Johnson"/>
    <s v="Pam Duncan"/>
    <s v="Individual"/>
    <n v="5.5"/>
    <n v="412.5"/>
    <n v="556.875"/>
    <n v="-144.375"/>
  </r>
  <r>
    <x v="11"/>
    <x v="2"/>
    <n v="1040"/>
    <s v="Johnson"/>
    <s v="Peter Hanson"/>
    <s v="Individual"/>
    <n v="2.4"/>
    <n v="180"/>
    <n v="243"/>
    <n v="-63"/>
  </r>
  <r>
    <x v="11"/>
    <x v="3"/>
    <n v="1120"/>
    <s v="Johnson"/>
    <s v="Simpson"/>
    <s v="Corporate"/>
    <n v="19"/>
    <n v="1425"/>
    <n v="1410.75"/>
    <n v="14.25"/>
  </r>
  <r>
    <x v="12"/>
    <x v="0"/>
    <n v="1040"/>
    <s v="Johnson"/>
    <s v="Peter Hanson"/>
    <s v="Individual"/>
    <n v="6"/>
    <n v="450"/>
    <n v="414"/>
    <n v="36"/>
  </r>
  <r>
    <x v="12"/>
    <x v="1"/>
    <n v="1120"/>
    <s v="Johnson"/>
    <s v="Simpson"/>
    <s v="Corporate"/>
    <n v="10.199999999999999"/>
    <n v="765"/>
    <n v="856.8"/>
    <n v="-91.799999999999955"/>
  </r>
  <r>
    <x v="13"/>
    <x v="2"/>
    <n v="1120"/>
    <s v="Johnson"/>
    <s v="Bessy Boats"/>
    <s v="Corporate"/>
    <n v="2.4"/>
    <n v="300"/>
    <n v="336"/>
    <n v="-36"/>
  </r>
  <r>
    <x v="13"/>
    <x v="0"/>
    <n v="1040"/>
    <s v="Johnson"/>
    <s v="Debbie Mavormat"/>
    <s v="Individual"/>
    <n v="19"/>
    <n v="2375"/>
    <n v="2185"/>
    <n v="190"/>
  </r>
  <r>
    <x v="13"/>
    <x v="1"/>
    <n v="1040"/>
    <s v="Johnson"/>
    <s v="Debbie Mavormat"/>
    <s v="Individual"/>
    <n v="8"/>
    <n v="1000"/>
    <n v="1120"/>
    <n v="-120"/>
  </r>
  <r>
    <x v="13"/>
    <x v="0"/>
    <n v="1065"/>
    <s v="Johnson"/>
    <s v="Harold Mason, Inc."/>
    <s v="Corporate"/>
    <n v="22"/>
    <n v="2750"/>
    <n v="2530"/>
    <n v="220"/>
  </r>
  <r>
    <x v="13"/>
    <x v="1"/>
    <n v="1040"/>
    <s v="Johnson"/>
    <s v="Janet Miller"/>
    <s v="Individual"/>
    <n v="6"/>
    <n v="750"/>
    <n v="840"/>
    <n v="-90"/>
  </r>
  <r>
    <x v="14"/>
    <x v="3"/>
    <n v="1120"/>
    <s v="Johnson"/>
    <s v="Cascade, Inc."/>
    <s v="Corporate"/>
    <n v="6"/>
    <n v="600"/>
    <n v="594"/>
    <n v="6"/>
  </r>
  <r>
    <x v="0"/>
    <x v="0"/>
    <n v="1065"/>
    <s v="Smith"/>
    <s v="Biss Foods"/>
    <s v="Corporate"/>
    <n v="2.4"/>
    <n v="180"/>
    <n v="165.6"/>
    <n v="14.400000000000006"/>
  </r>
  <r>
    <x v="0"/>
    <x v="1"/>
    <n v="1040"/>
    <s v="Smith"/>
    <s v="Lars Tate"/>
    <s v="Individual"/>
    <n v="12.9"/>
    <n v="967.5"/>
    <n v="1083.5999999999999"/>
    <n v="-116.09999999999991"/>
  </r>
  <r>
    <x v="0"/>
    <x v="0"/>
    <s v="Fidiciary"/>
    <s v="Smith"/>
    <s v="The News Place"/>
    <s v="Corporate"/>
    <n v="14"/>
    <n v="1050"/>
    <n v="966"/>
    <n v="84"/>
  </r>
  <r>
    <x v="0"/>
    <x v="1"/>
    <n v="1120"/>
    <s v="Smith"/>
    <s v="Tulip Bowls, Ltd"/>
    <s v="Corporate"/>
    <n v="4.5"/>
    <n v="337.5"/>
    <n v="378"/>
    <n v="-40.5"/>
  </r>
  <r>
    <x v="1"/>
    <x v="1"/>
    <n v="1040"/>
    <s v="Smith"/>
    <s v="Mike Thomas"/>
    <s v="Individual"/>
    <n v="3.7"/>
    <n v="277.5"/>
    <n v="310.8"/>
    <n v="-33.300000000000011"/>
  </r>
  <r>
    <x v="3"/>
    <x v="0"/>
    <n v="1120"/>
    <s v="Smith"/>
    <s v="Granola Bob"/>
    <s v="Corporate"/>
    <n v="4"/>
    <n v="300"/>
    <n v="276"/>
    <n v="24"/>
  </r>
  <r>
    <x v="3"/>
    <x v="0"/>
    <n v="1040"/>
    <s v="Smith"/>
    <s v="Tulip Bowls, Ltd"/>
    <s v="Corporate"/>
    <n v="3.5"/>
    <n v="262.5"/>
    <n v="241.5"/>
    <n v="21"/>
  </r>
  <r>
    <x v="4"/>
    <x v="0"/>
    <n v="1040"/>
    <s v="Smith"/>
    <s v="Gay Gray"/>
    <s v="Individual"/>
    <n v="6"/>
    <n v="600"/>
    <n v="552"/>
    <n v="48"/>
  </r>
  <r>
    <x v="4"/>
    <x v="0"/>
    <n v="1065"/>
    <s v="Smith"/>
    <s v="Hayes Automotive"/>
    <s v="Corporate"/>
    <n v="2"/>
    <n v="200"/>
    <n v="184"/>
    <n v="16"/>
  </r>
  <r>
    <x v="4"/>
    <x v="1"/>
    <n v="1120"/>
    <s v="Smith"/>
    <s v="Hayes Automotive"/>
    <s v="Corporate"/>
    <n v="10.199999999999999"/>
    <n v="1020"/>
    <n v="1142.4000000000001"/>
    <n v="-122.40000000000009"/>
  </r>
  <r>
    <x v="4"/>
    <x v="0"/>
    <s v="Financial Planning"/>
    <s v="Smith"/>
    <s v="Kim's Couches"/>
    <s v="Corporate"/>
    <n v="2.9"/>
    <n v="290"/>
    <n v="266.8"/>
    <n v="23.199999999999989"/>
  </r>
  <r>
    <x v="4"/>
    <x v="1"/>
    <n v="1120"/>
    <s v="Smith"/>
    <s v="Kim's Couches"/>
    <s v="Corporate"/>
    <n v="22"/>
    <n v="2200"/>
    <n v="2464"/>
    <n v="-264"/>
  </r>
  <r>
    <x v="4"/>
    <x v="1"/>
    <s v="Financial Planning"/>
    <s v="Smith"/>
    <s v="Terry Parker"/>
    <s v="Individual"/>
    <n v="12"/>
    <n v="1200"/>
    <n v="1344"/>
    <n v="-144"/>
  </r>
  <r>
    <x v="4"/>
    <x v="0"/>
    <s v="Fidiciary"/>
    <s v="Smith"/>
    <s v="Terry Parker"/>
    <s v="Individual"/>
    <n v="6"/>
    <n v="600"/>
    <n v="552"/>
    <n v="48"/>
  </r>
  <r>
    <x v="5"/>
    <x v="1"/>
    <n v="1065"/>
    <s v="Smith"/>
    <s v="Biss Foods"/>
    <s v="Corporate"/>
    <n v="9"/>
    <n v="675"/>
    <n v="756"/>
    <n v="-81"/>
  </r>
  <r>
    <x v="5"/>
    <x v="0"/>
    <n v="1040"/>
    <s v="Smith"/>
    <s v="Lars Tate"/>
    <s v="Individual"/>
    <n v="16"/>
    <n v="1200"/>
    <n v="1104"/>
    <n v="96"/>
  </r>
  <r>
    <x v="5"/>
    <x v="0"/>
    <n v="1040"/>
    <s v="Smith"/>
    <s v="Nancy Young"/>
    <s v="Individual"/>
    <n v="5.5"/>
    <n v="412.5"/>
    <n v="379.5"/>
    <n v="33"/>
  </r>
  <r>
    <x v="5"/>
    <x v="0"/>
    <n v="1040"/>
    <s v="Smith"/>
    <s v="Scott Slade"/>
    <s v="Individual"/>
    <n v="8"/>
    <n v="600"/>
    <n v="552"/>
    <n v="48"/>
  </r>
  <r>
    <x v="15"/>
    <x v="2"/>
    <n v="1120"/>
    <s v="Smith"/>
    <s v="Hayes Automotive"/>
    <s v="Corporate"/>
    <n v="8.4"/>
    <n v="840"/>
    <n v="1134"/>
    <n v="-294"/>
  </r>
  <r>
    <x v="15"/>
    <x v="3"/>
    <s v="Fidiciary"/>
    <s v="Smith"/>
    <s v="Terry Parker"/>
    <s v="Individual"/>
    <n v="14"/>
    <n v="1400"/>
    <n v="1386"/>
    <n v="14"/>
  </r>
  <r>
    <x v="8"/>
    <x v="3"/>
    <n v="1065"/>
    <s v="Smith"/>
    <s v="Gay Gray"/>
    <s v="Individual"/>
    <n v="3.5"/>
    <n v="350"/>
    <n v="346.5"/>
    <n v="3.5"/>
  </r>
  <r>
    <x v="8"/>
    <x v="2"/>
    <n v="1120"/>
    <s v="Smith"/>
    <s v="Kim's Couches"/>
    <s v="Corporate"/>
    <n v="12.9"/>
    <n v="1290"/>
    <n v="1741.5"/>
    <n v="-451.5"/>
  </r>
  <r>
    <x v="9"/>
    <x v="2"/>
    <n v="1065"/>
    <s v="Smith"/>
    <s v="Cindy Schrieber"/>
    <s v="Individual"/>
    <n v="32"/>
    <n v="4000"/>
    <n v="5400"/>
    <n v="-1400"/>
  </r>
  <r>
    <x v="9"/>
    <x v="3"/>
    <n v="1040"/>
    <s v="Smith"/>
    <s v="Corneilia Ham"/>
    <s v="Individual"/>
    <n v="6"/>
    <n v="750"/>
    <n v="742.5"/>
    <n v="7.5"/>
  </r>
  <r>
    <x v="9"/>
    <x v="3"/>
    <n v="1040"/>
    <s v="Smith"/>
    <s v="David Greene"/>
    <s v="Individual"/>
    <n v="2.9"/>
    <n v="362.5"/>
    <n v="358.875"/>
    <n v="3.625"/>
  </r>
  <r>
    <x v="9"/>
    <x v="2"/>
    <n v="1040"/>
    <s v="Smith"/>
    <s v="David Greene"/>
    <s v="Individual"/>
    <n v="22"/>
    <n v="2750"/>
    <n v="3712.5"/>
    <n v="-962.5"/>
  </r>
  <r>
    <x v="9"/>
    <x v="3"/>
    <n v="1120"/>
    <s v="Smith"/>
    <s v="Hanson Fish Sales"/>
    <s v="Corporate"/>
    <n v="2.6"/>
    <n v="325"/>
    <n v="321.75"/>
    <n v="3.25"/>
  </r>
  <r>
    <x v="9"/>
    <x v="3"/>
    <n v="1040"/>
    <s v="Smith"/>
    <s v="Willie McClendon"/>
    <s v="Individual"/>
    <n v="9"/>
    <n v="1125"/>
    <n v="1113.75"/>
    <n v="11.25"/>
  </r>
  <r>
    <x v="11"/>
    <x v="2"/>
    <n v="1065"/>
    <s v="Smith"/>
    <s v="Biss Foods"/>
    <s v="Corporate"/>
    <n v="5"/>
    <n v="375"/>
    <n v="506.25"/>
    <n v="-131.25"/>
  </r>
  <r>
    <x v="11"/>
    <x v="3"/>
    <n v="1120"/>
    <s v="Smith"/>
    <s v="Granola Bob"/>
    <s v="Corporate"/>
    <n v="8"/>
    <n v="600"/>
    <n v="594"/>
    <n v="6"/>
  </r>
  <r>
    <x v="11"/>
    <x v="2"/>
    <n v="1120"/>
    <s v="Smith"/>
    <s v="Granola Bob"/>
    <s v="Corporate"/>
    <n v="6"/>
    <n v="450"/>
    <n v="607.5"/>
    <n v="-157.5"/>
  </r>
  <r>
    <x v="11"/>
    <x v="3"/>
    <n v="1040"/>
    <s v="Smith"/>
    <s v="Kathy Hankins"/>
    <s v="Individual"/>
    <n v="32"/>
    <n v="2400"/>
    <n v="2376"/>
    <n v="24"/>
  </r>
  <r>
    <x v="11"/>
    <x v="2"/>
    <s v="Financial Planning"/>
    <s v="Smith"/>
    <s v="Kathy Hankins"/>
    <s v="Individual"/>
    <n v="14"/>
    <n v="1050"/>
    <n v="1417.5"/>
    <n v="-367.5"/>
  </r>
  <r>
    <x v="11"/>
    <x v="3"/>
    <n v="1040"/>
    <s v="Smith"/>
    <s v="Lars Tate"/>
    <s v="Individual"/>
    <n v="22"/>
    <n v="1650"/>
    <n v="1633.5"/>
    <n v="16.5"/>
  </r>
  <r>
    <x v="11"/>
    <x v="2"/>
    <n v="1040"/>
    <s v="Smith"/>
    <s v="Mike Thomas"/>
    <s v="Individual"/>
    <n v="4.5"/>
    <n v="337.5"/>
    <n v="455.625"/>
    <n v="-118.125"/>
  </r>
  <r>
    <x v="11"/>
    <x v="3"/>
    <n v="1040"/>
    <s v="Smith"/>
    <s v="Mike Thomas"/>
    <s v="Individual"/>
    <n v="2"/>
    <n v="150"/>
    <n v="148.5"/>
    <n v="1.5"/>
  </r>
  <r>
    <x v="11"/>
    <x v="2"/>
    <s v="Financial Planning"/>
    <s v="Smith"/>
    <s v="Nancy Young"/>
    <s v="Individual"/>
    <n v="3.5"/>
    <n v="262.5"/>
    <n v="354.375"/>
    <n v="-91.875"/>
  </r>
  <r>
    <x v="11"/>
    <x v="3"/>
    <n v="1040"/>
    <s v="Smith"/>
    <s v="Scott Slade"/>
    <s v="Individual"/>
    <n v="17"/>
    <n v="1275"/>
    <n v="1262.25"/>
    <n v="12.75"/>
  </r>
  <r>
    <x v="11"/>
    <x v="2"/>
    <n v="1040"/>
    <s v="Smith"/>
    <s v="Scott Slade"/>
    <s v="Individual"/>
    <n v="4"/>
    <n v="300"/>
    <n v="405"/>
    <n v="-105"/>
  </r>
  <r>
    <x v="11"/>
    <x v="3"/>
    <n v="1065"/>
    <s v="Smith"/>
    <s v="The News Place"/>
    <s v="Corporate"/>
    <n v="12"/>
    <n v="900"/>
    <n v="891"/>
    <n v="9"/>
  </r>
  <r>
    <x v="11"/>
    <x v="2"/>
    <n v="1120"/>
    <s v="Smith"/>
    <s v="The News Place"/>
    <s v="Corporate"/>
    <n v="6"/>
    <n v="450"/>
    <n v="607.5"/>
    <n v="-157.5"/>
  </r>
  <r>
    <x v="11"/>
    <x v="2"/>
    <n v="1120"/>
    <s v="Smith"/>
    <s v="Tulip Bowls, Ltd"/>
    <s v="Corporate"/>
    <n v="6"/>
    <n v="450"/>
    <n v="607.5"/>
    <n v="-157.5"/>
  </r>
  <r>
    <x v="12"/>
    <x v="0"/>
    <n v="1040"/>
    <s v="Smith"/>
    <s v="Kathy Hankins"/>
    <s v="Individual"/>
    <n v="12"/>
    <n v="900"/>
    <n v="828"/>
    <n v="72"/>
  </r>
  <r>
    <x v="12"/>
    <x v="1"/>
    <s v="Financial Planning"/>
    <s v="Smith"/>
    <s v="Nancy Young"/>
    <s v="Individual"/>
    <n v="6"/>
    <n v="450"/>
    <n v="504"/>
    <n v="-54"/>
  </r>
  <r>
    <x v="13"/>
    <x v="0"/>
    <n v="1040"/>
    <s v="Smith"/>
    <s v="Cindy Schrieber"/>
    <s v="Individual"/>
    <n v="16"/>
    <n v="2000"/>
    <n v="1840"/>
    <n v="160"/>
  </r>
  <r>
    <x v="13"/>
    <x v="1"/>
    <n v="1040"/>
    <s v="Smith"/>
    <s v="Cindy Schrieber"/>
    <s v="Individual"/>
    <n v="12"/>
    <n v="1500"/>
    <n v="1680"/>
    <n v="-180"/>
  </r>
  <r>
    <x v="13"/>
    <x v="1"/>
    <s v="Fidiciary"/>
    <s v="Smith"/>
    <s v="Corneilia Ham"/>
    <s v="Individual"/>
    <n v="3.5"/>
    <n v="437.5"/>
    <n v="490"/>
    <n v="-52.5"/>
  </r>
  <r>
    <x v="13"/>
    <x v="0"/>
    <n v="1040"/>
    <s v="Smith"/>
    <s v="Corneilia Ham"/>
    <s v="Individual"/>
    <n v="4.5"/>
    <n v="562.5"/>
    <n v="517.5"/>
    <n v="45"/>
  </r>
  <r>
    <x v="13"/>
    <x v="0"/>
    <n v="1040"/>
    <s v="Smith"/>
    <s v="David Greene"/>
    <s v="Individual"/>
    <n v="12.9"/>
    <n v="1612.5"/>
    <n v="1483.5"/>
    <n v="129"/>
  </r>
  <r>
    <x v="13"/>
    <x v="1"/>
    <n v="1120"/>
    <s v="Smith"/>
    <s v="Hanson Fish Sales"/>
    <s v="Corporate"/>
    <n v="9"/>
    <n v="1125"/>
    <n v="1260"/>
    <n v="-135"/>
  </r>
  <r>
    <x v="13"/>
    <x v="0"/>
    <n v="1120"/>
    <s v="Smith"/>
    <s v="Hanson Fish Sales"/>
    <s v="Corporate"/>
    <n v="2.9"/>
    <n v="362.5"/>
    <n v="333.5"/>
    <n v="29"/>
  </r>
  <r>
    <x v="13"/>
    <x v="1"/>
    <n v="1040"/>
    <s v="Smith"/>
    <s v="Willie McClendon"/>
    <s v="Individual"/>
    <n v="5"/>
    <n v="625"/>
    <n v="700"/>
    <n v="-75"/>
  </r>
  <r>
    <x v="13"/>
    <x v="0"/>
    <n v="1040"/>
    <s v="Smith"/>
    <s v="Willie McClendon"/>
    <s v="Individual"/>
    <n v="2.6"/>
    <n v="325"/>
    <n v="299"/>
    <n v="26"/>
  </r>
  <r>
    <x v="14"/>
    <x v="2"/>
    <n v="1040"/>
    <s v="Smith"/>
    <s v="Gay Gray"/>
    <s v="Individual"/>
    <n v="4.5"/>
    <n v="450"/>
    <n v="607.5"/>
    <n v="-15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4:F22" firstHeaderRow="1" firstDataRow="2" firstDataCol="1"/>
  <pivotFields count="10">
    <pivotField axis="axisRow" showAll="0">
      <items count="17">
        <item x="0"/>
        <item x="1"/>
        <item x="2"/>
        <item x="3"/>
        <item n="Jessica" x="4"/>
        <item x="5"/>
        <item x="6"/>
        <item x="7"/>
        <item x="15"/>
        <item x="8"/>
        <item x="9"/>
        <item x="10"/>
        <item x="11"/>
        <item x="12"/>
        <item x="13"/>
        <item x="14"/>
        <item t="default"/>
      </items>
    </pivotField>
    <pivotField axis="axisCol" showAll="0">
      <items count="5">
        <item x="0"/>
        <item x="3"/>
        <item x="1"/>
        <item x="2"/>
        <item t="default"/>
      </items>
    </pivotField>
    <pivotField showAll="0"/>
    <pivotField showAll="0"/>
    <pivotField showAll="0"/>
    <pivotField showAll="0"/>
    <pivotField numFmtId="168" showAll="0"/>
    <pivotField dataField="1" numFmtId="164" showAll="0"/>
    <pivotField numFmtId="164" showAll="0"/>
    <pivotField numFmtId="164" showAll="0"/>
  </pivotFields>
  <rowFields count="1">
    <field x="0"/>
  </rowFields>
  <rowItems count="17">
    <i>
      <x/>
    </i>
    <i>
      <x v="1"/>
    </i>
    <i>
      <x v="2"/>
    </i>
    <i>
      <x v="3"/>
    </i>
    <i>
      <x v="4"/>
    </i>
    <i>
      <x v="5"/>
    </i>
    <i>
      <x v="6"/>
    </i>
    <i>
      <x v="7"/>
    </i>
    <i>
      <x v="8"/>
    </i>
    <i>
      <x v="9"/>
    </i>
    <i>
      <x v="10"/>
    </i>
    <i>
      <x v="11"/>
    </i>
    <i>
      <x v="12"/>
    </i>
    <i>
      <x v="13"/>
    </i>
    <i>
      <x v="14"/>
    </i>
    <i>
      <x v="15"/>
    </i>
    <i t="grand">
      <x/>
    </i>
  </rowItems>
  <colFields count="1">
    <field x="1"/>
  </colFields>
  <colItems count="5">
    <i>
      <x/>
    </i>
    <i>
      <x v="1"/>
    </i>
    <i>
      <x v="2"/>
    </i>
    <i>
      <x v="3"/>
    </i>
    <i t="grand">
      <x/>
    </i>
  </colItems>
  <dataFields count="1">
    <dataField name="Sum of Billings" fld="7" baseField="0" baseItem="0" numFmtId="164"/>
  </dataFields>
  <formats count="1">
    <format dxfId="4">
      <pivotArea outline="0" collapsedLevelsAreSubtotals="1"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hyperlink" Target="http://uga.rivals.com/croster.as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hyperlink" Target="http://uga.rivals.com/croster.asp"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uga.rivals.com/croster.asp"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uga.rivals.com/croster.asp" TargetMode="Externa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9.xml.rels><?xml version="1.0" encoding="UTF-8" standalone="yes"?>
<Relationships xmlns="http://schemas.openxmlformats.org/package/2006/relationships"><Relationship Id="rId1" Type="http://schemas.openxmlformats.org/officeDocument/2006/relationships/hyperlink" Target="http://en.wikipedia.org/wiki/Sample_siz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4.xml.rels><?xml version="1.0" encoding="UTF-8" standalone="yes"?>
<Relationships xmlns="http://schemas.openxmlformats.org/package/2006/relationships"><Relationship Id="rId13" Type="http://schemas.openxmlformats.org/officeDocument/2006/relationships/hyperlink" Target="javascript:go('/search/redir.aspx?AssetID=HP052090731033&amp;CTT=5&amp;Origin=HP052042111033')" TargetMode="External"/><Relationship Id="rId18" Type="http://schemas.openxmlformats.org/officeDocument/2006/relationships/hyperlink" Target="javascript:go('/search/redir.aspx?AssetID=HP052093361033&amp;CTT=5&amp;Origin=HP052042111033')" TargetMode="External"/><Relationship Id="rId26" Type="http://schemas.openxmlformats.org/officeDocument/2006/relationships/hyperlink" Target="javascript:go('/search/redir.aspx?AssetID=HP052092251033&amp;CTT=5&amp;Origin=HP052042111033')" TargetMode="External"/><Relationship Id="rId39" Type="http://schemas.openxmlformats.org/officeDocument/2006/relationships/hyperlink" Target="javascript:go('/search/redir.aspx?AssetID=HP052089861033&amp;CTT=5&amp;Origin=HP052042111033')" TargetMode="External"/><Relationship Id="rId21" Type="http://schemas.openxmlformats.org/officeDocument/2006/relationships/hyperlink" Target="javascript:go('/search/redir.aspx?AssetID=HP052093431033&amp;CTT=5&amp;Origin=HP052042111033')" TargetMode="External"/><Relationship Id="rId34" Type="http://schemas.openxmlformats.org/officeDocument/2006/relationships/hyperlink" Target="javascript:go('/search/redir.aspx?AssetID=HP052091471033&amp;CTT=5&amp;Origin=HP052042111033')" TargetMode="External"/><Relationship Id="rId42" Type="http://schemas.openxmlformats.org/officeDocument/2006/relationships/hyperlink" Target="javascript:go('/search/redir.aspx?AssetID=HP052091961033&amp;CTT=5&amp;Origin=HP052042111033')" TargetMode="External"/><Relationship Id="rId47" Type="http://schemas.openxmlformats.org/officeDocument/2006/relationships/hyperlink" Target="javascript:go('/search/redir.aspx?AssetID=HP052091141033&amp;CTT=5&amp;Origin=HP052042111033')" TargetMode="External"/><Relationship Id="rId50" Type="http://schemas.openxmlformats.org/officeDocument/2006/relationships/hyperlink" Target="javascript:go('/search/redir.aspx?AssetID=HP052091631033&amp;CTT=5&amp;Origin=HP052042111033')" TargetMode="External"/><Relationship Id="rId55" Type="http://schemas.openxmlformats.org/officeDocument/2006/relationships/hyperlink" Target="javascript:go('/search/redir.aspx?AssetID=HP052092391033&amp;CTT=5&amp;Origin=HP052042111033')" TargetMode="External"/><Relationship Id="rId63" Type="http://schemas.openxmlformats.org/officeDocument/2006/relationships/hyperlink" Target="javascript:go('/search/redir.aspx?AssetID=HP052090261033&amp;CTT=5&amp;Origin=HP052042111033')" TargetMode="External"/><Relationship Id="rId68" Type="http://schemas.openxmlformats.org/officeDocument/2006/relationships/hyperlink" Target="javascript:go('/search/redir.aspx?AssetID=HP052091761033&amp;CTT=5&amp;Origin=HP052042111033')" TargetMode="External"/><Relationship Id="rId76" Type="http://schemas.openxmlformats.org/officeDocument/2006/relationships/hyperlink" Target="javascript:go('/search/redir.aspx?AssetID=HP052091751033&amp;CTT=5&amp;Origin=HP052042111033')" TargetMode="External"/><Relationship Id="rId84" Type="http://schemas.openxmlformats.org/officeDocument/2006/relationships/hyperlink" Target="javascript:go('/search/redir.aspx?AssetID=HP052093211033&amp;CTT=5&amp;Origin=HP052042111033')" TargetMode="External"/><Relationship Id="rId7" Type="http://schemas.openxmlformats.org/officeDocument/2006/relationships/hyperlink" Target="javascript:go('/search/redir.aspx?AssetID=HP052090661033&amp;CTT=5&amp;Origin=HP052042111033')" TargetMode="External"/><Relationship Id="rId71" Type="http://schemas.openxmlformats.org/officeDocument/2006/relationships/hyperlink" Target="javascript:go('/search/redir.aspx?AssetID=HP052090201033&amp;CTT=5&amp;Origin=HP052042111033')" TargetMode="External"/><Relationship Id="rId2" Type="http://schemas.openxmlformats.org/officeDocument/2006/relationships/hyperlink" Target="javascript:go('/search/redir.aspx?AssetID=HP052090491033&amp;CTT=5&amp;Origin=HP052042111033')" TargetMode="External"/><Relationship Id="rId16" Type="http://schemas.openxmlformats.org/officeDocument/2006/relationships/hyperlink" Target="javascript:go('/search/redir.aspx?AssetID=HP052091971033&amp;CTT=5&amp;Origin=HP052042111033')" TargetMode="External"/><Relationship Id="rId29" Type="http://schemas.openxmlformats.org/officeDocument/2006/relationships/hyperlink" Target="javascript:go('/search/redir.aspx?AssetID=HP052090081033&amp;CTT=5&amp;Origin=HP052042111033')" TargetMode="External"/><Relationship Id="rId11" Type="http://schemas.openxmlformats.org/officeDocument/2006/relationships/hyperlink" Target="javascript:go('/search/redir.aspx?AssetID=HP052090461033&amp;CTT=5&amp;Origin=HP052042111033')" TargetMode="External"/><Relationship Id="rId24" Type="http://schemas.openxmlformats.org/officeDocument/2006/relationships/hyperlink" Target="javascript:go('/search/redir.aspx?AssetID=HP052090991033&amp;CTT=5&amp;Origin=HP052042111033')" TargetMode="External"/><Relationship Id="rId32" Type="http://schemas.openxmlformats.org/officeDocument/2006/relationships/hyperlink" Target="javascript:go('/search/redir.aspx?AssetID=HP052091471033&amp;CTT=5&amp;Origin=HP052042111033')" TargetMode="External"/><Relationship Id="rId37" Type="http://schemas.openxmlformats.org/officeDocument/2006/relationships/hyperlink" Target="javascript:go('/search/redir.aspx?AssetID=HP052091471033&amp;CTT=5&amp;Origin=HP052042111033')" TargetMode="External"/><Relationship Id="rId40" Type="http://schemas.openxmlformats.org/officeDocument/2006/relationships/hyperlink" Target="javascript:go('/search/redir.aspx?AssetID=HP052090861033&amp;CTT=5&amp;Origin=HP052042111033')" TargetMode="External"/><Relationship Id="rId45" Type="http://schemas.openxmlformats.org/officeDocument/2006/relationships/hyperlink" Target="javascript:go('/search/redir.aspx?AssetID=HP052090131033&amp;CTT=5&amp;Origin=HP052042111033')" TargetMode="External"/><Relationship Id="rId53" Type="http://schemas.openxmlformats.org/officeDocument/2006/relationships/hyperlink" Target="javascript:go('/search/redir.aspx?AssetID=HP052092291033&amp;CTT=5&amp;Origin=HP052042111033')" TargetMode="External"/><Relationship Id="rId58" Type="http://schemas.openxmlformats.org/officeDocument/2006/relationships/hyperlink" Target="javascript:go('/search/redir.aspx?AssetID=HP052092551033&amp;CTT=5&amp;Origin=HP052042111033')" TargetMode="External"/><Relationship Id="rId66" Type="http://schemas.openxmlformats.org/officeDocument/2006/relationships/hyperlink" Target="javascript:go('/search/redir.aspx?AssetID=HP052090291033&amp;CTT=5&amp;Origin=HP052042111033')" TargetMode="External"/><Relationship Id="rId74" Type="http://schemas.openxmlformats.org/officeDocument/2006/relationships/hyperlink" Target="javascript:go('/search/redir.aspx?AssetID=HP052091541033&amp;CTT=5&amp;Origin=HP052042111033')" TargetMode="External"/><Relationship Id="rId79" Type="http://schemas.openxmlformats.org/officeDocument/2006/relationships/hyperlink" Target="javascript:go('/search/redir.aspx?AssetID=HP052092361033&amp;CTT=5&amp;Origin=HP052042111033')" TargetMode="External"/><Relationship Id="rId87" Type="http://schemas.openxmlformats.org/officeDocument/2006/relationships/printerSettings" Target="../printerSettings/printerSettings16.bin"/><Relationship Id="rId5" Type="http://schemas.openxmlformats.org/officeDocument/2006/relationships/hyperlink" Target="javascript:go('/search/redir.aspx?AssetID=HP052090611033&amp;CTT=5&amp;Origin=HP052042111033')" TargetMode="External"/><Relationship Id="rId61" Type="http://schemas.openxmlformats.org/officeDocument/2006/relationships/hyperlink" Target="javascript:go('/search/redir.aspx?AssetID=HP052092921033&amp;CTT=5&amp;Origin=HP052042111033')" TargetMode="External"/><Relationship Id="rId82" Type="http://schemas.openxmlformats.org/officeDocument/2006/relationships/hyperlink" Target="javascript:go('/search/redir.aspx?AssetID=HP052092861033&amp;CTT=5&amp;Origin=HP052042111033')" TargetMode="External"/><Relationship Id="rId19" Type="http://schemas.openxmlformats.org/officeDocument/2006/relationships/hyperlink" Target="javascript:go('/search/redir.aspx?AssetID=HP052093371033&amp;CTT=5&amp;Origin=HP052042111033')" TargetMode="External"/><Relationship Id="rId4" Type="http://schemas.openxmlformats.org/officeDocument/2006/relationships/hyperlink" Target="javascript:go('/search/redir.aspx?AssetID=HP052090591033&amp;CTT=5&amp;Origin=HP052042111033')" TargetMode="External"/><Relationship Id="rId9" Type="http://schemas.openxmlformats.org/officeDocument/2006/relationships/hyperlink" Target="javascript:go('/search/redir.aspx?AssetID=HP052090421033&amp;CTT=5&amp;Origin=HP052042111033')" TargetMode="External"/><Relationship Id="rId14" Type="http://schemas.openxmlformats.org/officeDocument/2006/relationships/hyperlink" Target="javascript:go('/search/redir.aspx?AssetID=HP052090761033&amp;CTT=5&amp;Origin=HP052042111033')" TargetMode="External"/><Relationship Id="rId22" Type="http://schemas.openxmlformats.org/officeDocument/2006/relationships/hyperlink" Target="javascript:go('/search/redir.aspx?AssetID=HP052090511033&amp;CTT=5&amp;Origin=HP052042111033')" TargetMode="External"/><Relationship Id="rId27" Type="http://schemas.openxmlformats.org/officeDocument/2006/relationships/hyperlink" Target="javascript:go('/search/redir.aspx?AssetID=HP052092631033&amp;CTT=5&amp;Origin=HP052042111033')" TargetMode="External"/><Relationship Id="rId30" Type="http://schemas.openxmlformats.org/officeDocument/2006/relationships/hyperlink" Target="javascript:go('/search/redir.aspx?AssetID=HP052090791033&amp;CTT=5&amp;Origin=HP052042111033')" TargetMode="External"/><Relationship Id="rId35" Type="http://schemas.openxmlformats.org/officeDocument/2006/relationships/hyperlink" Target="javascript:go('/search/redir.aspx?AssetID=HP052091471033&amp;CTT=5&amp;Origin=HP052042111033')" TargetMode="External"/><Relationship Id="rId43" Type="http://schemas.openxmlformats.org/officeDocument/2006/relationships/hyperlink" Target="javascript:go('/search/redir.aspx?AssetID=HP052092091033&amp;CTT=5&amp;Origin=HP052042111033')" TargetMode="External"/><Relationship Id="rId48" Type="http://schemas.openxmlformats.org/officeDocument/2006/relationships/hyperlink" Target="javascript:go('/search/redir.aspx?AssetID=HP052091161033&amp;CTT=5&amp;Origin=HP052042111033')" TargetMode="External"/><Relationship Id="rId56" Type="http://schemas.openxmlformats.org/officeDocument/2006/relationships/hyperlink" Target="javascript:go('/search/redir.aspx?AssetID=HP052092411033&amp;CTT=5&amp;Origin=HP052042111033')" TargetMode="External"/><Relationship Id="rId64" Type="http://schemas.openxmlformats.org/officeDocument/2006/relationships/hyperlink" Target="javascript:go('/search/redir.aspx?AssetID=HP052090271033&amp;CTT=5&amp;Origin=HP052042111033')" TargetMode="External"/><Relationship Id="rId69" Type="http://schemas.openxmlformats.org/officeDocument/2006/relationships/hyperlink" Target="javascript:go('/search/redir.aspx?AssetID=HP052092311033&amp;CTT=5&amp;Origin=HP052042111033')" TargetMode="External"/><Relationship Id="rId77" Type="http://schemas.openxmlformats.org/officeDocument/2006/relationships/hyperlink" Target="javascript:go('/search/redir.aspx?AssetID=HP052092241033&amp;CTT=5&amp;Origin=HP052042111033')" TargetMode="External"/><Relationship Id="rId8" Type="http://schemas.openxmlformats.org/officeDocument/2006/relationships/hyperlink" Target="javascript:go('/search/redir.aspx?AssetID=HP052090691033&amp;CTT=5&amp;Origin=HP052042111033')" TargetMode="External"/><Relationship Id="rId51" Type="http://schemas.openxmlformats.org/officeDocument/2006/relationships/hyperlink" Target="javascript:go('/search/redir.aspx?AssetID=HP052093191033&amp;CTT=5&amp;Origin=HP052042111033')" TargetMode="External"/><Relationship Id="rId72" Type="http://schemas.openxmlformats.org/officeDocument/2006/relationships/hyperlink" Target="javascript:go('/search/redir.aspx?AssetID=HP052090891033&amp;CTT=5&amp;Origin=HP052042111033')" TargetMode="External"/><Relationship Id="rId80" Type="http://schemas.openxmlformats.org/officeDocument/2006/relationships/hyperlink" Target="javascript:go('/search/redir.aspx?AssetID=HP052092371033&amp;CTT=5&amp;Origin=HP052042111033')" TargetMode="External"/><Relationship Id="rId85" Type="http://schemas.openxmlformats.org/officeDocument/2006/relationships/hyperlink" Target="javascript:go('/search/redir.aspx?AssetID=HP052093271033&amp;CTT=5&amp;Origin=HP052042111033')" TargetMode="External"/><Relationship Id="rId3" Type="http://schemas.openxmlformats.org/officeDocument/2006/relationships/hyperlink" Target="javascript:go('/search/redir.aspx?AssetID=HP052090501033&amp;CTT=5&amp;Origin=HP052042111033')" TargetMode="External"/><Relationship Id="rId12" Type="http://schemas.openxmlformats.org/officeDocument/2006/relationships/hyperlink" Target="javascript:go('/search/redir.aspx?AssetID=HP052090471033&amp;CTT=5&amp;Origin=HP052042111033')" TargetMode="External"/><Relationship Id="rId17" Type="http://schemas.openxmlformats.org/officeDocument/2006/relationships/hyperlink" Target="javascript:go('/search/redir.aspx?AssetID=HP052093181033&amp;CTT=5&amp;Origin=HP052042111033')" TargetMode="External"/><Relationship Id="rId25" Type="http://schemas.openxmlformats.org/officeDocument/2006/relationships/hyperlink" Target="javascript:go('/search/redir.aspx?AssetID=HP052092151033&amp;CTT=5&amp;Origin=HP052042111033')" TargetMode="External"/><Relationship Id="rId33" Type="http://schemas.openxmlformats.org/officeDocument/2006/relationships/hyperlink" Target="javascript:go('/search/redir.aspx?AssetID=HP052091471033&amp;CTT=5&amp;Origin=HP052042111033')" TargetMode="External"/><Relationship Id="rId38" Type="http://schemas.openxmlformats.org/officeDocument/2006/relationships/hyperlink" Target="javascript:go('/search/redir.aspx?AssetID=HP052091471033&amp;CTT=5&amp;Origin=HP052042111033')" TargetMode="External"/><Relationship Id="rId46" Type="http://schemas.openxmlformats.org/officeDocument/2006/relationships/hyperlink" Target="javascript:go('/search/redir.aspx?AssetID=HP052091071033&amp;CTT=5&amp;Origin=HP052042111033')" TargetMode="External"/><Relationship Id="rId59" Type="http://schemas.openxmlformats.org/officeDocument/2006/relationships/hyperlink" Target="javascript:go('/search/redir.aspx?AssetID=HP052092881033&amp;CTT=5&amp;Origin=HP052042111033')" TargetMode="External"/><Relationship Id="rId67" Type="http://schemas.openxmlformats.org/officeDocument/2006/relationships/hyperlink" Target="javascript:go('/search/redir.aspx?AssetID=HP052091701033&amp;CTT=5&amp;Origin=HP052042111033')" TargetMode="External"/><Relationship Id="rId20" Type="http://schemas.openxmlformats.org/officeDocument/2006/relationships/hyperlink" Target="javascript:go('/search/redir.aspx?AssetID=HP052093391033&amp;CTT=5&amp;Origin=HP052042111033')" TargetMode="External"/><Relationship Id="rId41" Type="http://schemas.openxmlformats.org/officeDocument/2006/relationships/hyperlink" Target="javascript:go('/search/redir.aspx?AssetID=HP052091181033&amp;CTT=5&amp;Origin=HP052042111033')" TargetMode="External"/><Relationship Id="rId54" Type="http://schemas.openxmlformats.org/officeDocument/2006/relationships/hyperlink" Target="javascript:go('/search/redir.aspx?AssetID=HP052092301033&amp;CTT=5&amp;Origin=HP052042111033')" TargetMode="External"/><Relationship Id="rId62" Type="http://schemas.openxmlformats.org/officeDocument/2006/relationships/hyperlink" Target="javascript:go('/search/redir.aspx?AssetID=HP052089941033&amp;CTT=5&amp;Origin=HP052042111033')" TargetMode="External"/><Relationship Id="rId70" Type="http://schemas.openxmlformats.org/officeDocument/2006/relationships/hyperlink" Target="javascript:go('/search/redir.aspx?AssetID=HP052090141033&amp;CTT=5&amp;Origin=HP052042111033')" TargetMode="External"/><Relationship Id="rId75" Type="http://schemas.openxmlformats.org/officeDocument/2006/relationships/hyperlink" Target="javascript:go('/search/redir.aspx?AssetID=HP052091671033&amp;CTT=5&amp;Origin=HP052042111033')" TargetMode="External"/><Relationship Id="rId83" Type="http://schemas.openxmlformats.org/officeDocument/2006/relationships/hyperlink" Target="javascript:go('/search/redir.aspx?AssetID=HP052093131033&amp;CTT=5&amp;Origin=HP052042111033')" TargetMode="External"/><Relationship Id="rId1" Type="http://schemas.openxmlformats.org/officeDocument/2006/relationships/hyperlink" Target="javascript:go('/search/redir.aspx?AssetID=HP052090451033&amp;CTT=5&amp;Origin=HP052042111033')" TargetMode="External"/><Relationship Id="rId6" Type="http://schemas.openxmlformats.org/officeDocument/2006/relationships/hyperlink" Target="javascript:go('/search/redir.aspx?AssetID=HP052090621033&amp;CTT=5&amp;Origin=HP052042111033')" TargetMode="External"/><Relationship Id="rId15" Type="http://schemas.openxmlformats.org/officeDocument/2006/relationships/hyperlink" Target="javascript:go('/search/redir.aspx?AssetID=HP052091841033&amp;CTT=5&amp;Origin=HP052042111033')" TargetMode="External"/><Relationship Id="rId23" Type="http://schemas.openxmlformats.org/officeDocument/2006/relationships/hyperlink" Target="javascript:go('/search/redir.aspx?AssetID=HP052090601033&amp;CTT=5&amp;Origin=HP052042111033')" TargetMode="External"/><Relationship Id="rId28" Type="http://schemas.openxmlformats.org/officeDocument/2006/relationships/hyperlink" Target="javascript:go('/search/redir.aspx?AssetID=HP052093021033&amp;CTT=5&amp;Origin=HP052042111033')" TargetMode="External"/><Relationship Id="rId36" Type="http://schemas.openxmlformats.org/officeDocument/2006/relationships/hyperlink" Target="javascript:go('/search/redir.aspx?AssetID=HP052091471033&amp;CTT=5&amp;Origin=HP052042111033')" TargetMode="External"/><Relationship Id="rId49" Type="http://schemas.openxmlformats.org/officeDocument/2006/relationships/hyperlink" Target="javascript:go('/search/redir.aspx?AssetID=HP052091381033&amp;CTT=5&amp;Origin=HP052042111033')" TargetMode="External"/><Relationship Id="rId57" Type="http://schemas.openxmlformats.org/officeDocument/2006/relationships/hyperlink" Target="javascript:go('/search/redir.aspx?AssetID=HP052092421033&amp;CTT=5&amp;Origin=HP052042111033')" TargetMode="External"/><Relationship Id="rId10" Type="http://schemas.openxmlformats.org/officeDocument/2006/relationships/hyperlink" Target="javascript:go('/search/redir.aspx?AssetID=HP052090441033&amp;CTT=5&amp;Origin=HP052042111033')" TargetMode="External"/><Relationship Id="rId31" Type="http://schemas.openxmlformats.org/officeDocument/2006/relationships/hyperlink" Target="javascript:go('/search/redir.aspx?AssetID=HP052091401033&amp;CTT=5&amp;Origin=HP052042111033')" TargetMode="External"/><Relationship Id="rId44" Type="http://schemas.openxmlformats.org/officeDocument/2006/relationships/hyperlink" Target="javascript:go('/search/redir.aspx?AssetID=HP052093231033&amp;CTT=5&amp;Origin=HP052042111033')" TargetMode="External"/><Relationship Id="rId52" Type="http://schemas.openxmlformats.org/officeDocument/2006/relationships/hyperlink" Target="javascript:go('/search/redir.aspx?AssetID=HP052093351033&amp;CTT=5&amp;Origin=HP052042111033')" TargetMode="External"/><Relationship Id="rId60" Type="http://schemas.openxmlformats.org/officeDocument/2006/relationships/hyperlink" Target="javascript:go('/search/redir.aspx?AssetID=HP052092901033&amp;CTT=5&amp;Origin=HP052042111033')" TargetMode="External"/><Relationship Id="rId65" Type="http://schemas.openxmlformats.org/officeDocument/2006/relationships/hyperlink" Target="javascript:go('/search/redir.aspx?AssetID=HP052090281033&amp;CTT=5&amp;Origin=HP052042111033')" TargetMode="External"/><Relationship Id="rId73" Type="http://schemas.openxmlformats.org/officeDocument/2006/relationships/hyperlink" Target="javascript:go('/search/redir.aspx?AssetID=HP052091531033&amp;CTT=5&amp;Origin=HP052042111033')" TargetMode="External"/><Relationship Id="rId78" Type="http://schemas.openxmlformats.org/officeDocument/2006/relationships/hyperlink" Target="javascript:go('/search/redir.aspx?AssetID=HP052092351033&amp;CTT=5&amp;Origin=HP052042111033')" TargetMode="External"/><Relationship Id="rId81" Type="http://schemas.openxmlformats.org/officeDocument/2006/relationships/hyperlink" Target="javascript:go('/search/redir.aspx?AssetID=HP052092491033&amp;CTT=5&amp;Origin=HP052042111033')" TargetMode="External"/><Relationship Id="rId86" Type="http://schemas.openxmlformats.org/officeDocument/2006/relationships/hyperlink" Target="javascript:go('/search/redir.aspx?AssetID=HP052093291033&amp;CTT=5&amp;Origin=HP052042111033')"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E84"/>
  <sheetViews>
    <sheetView showGridLines="0" tabSelected="1" zoomScale="91" zoomScaleNormal="91" workbookViewId="0"/>
  </sheetViews>
  <sheetFormatPr defaultRowHeight="15.75"/>
  <cols>
    <col min="1" max="1" width="56" style="634" customWidth="1"/>
    <col min="2" max="16384" width="9.140625" style="319"/>
  </cols>
  <sheetData>
    <row r="1" spans="1:5" ht="26.25">
      <c r="A1" s="633" t="s">
        <v>2057</v>
      </c>
      <c r="B1" s="635"/>
      <c r="E1" s="643" t="s">
        <v>2056</v>
      </c>
    </row>
    <row r="2" spans="1:5" ht="18.75">
      <c r="A2" s="666"/>
    </row>
    <row r="3" spans="1:5" ht="18.75">
      <c r="A3" s="666"/>
    </row>
    <row r="4" spans="1:5" ht="18.75">
      <c r="A4" s="667" t="s">
        <v>2058</v>
      </c>
    </row>
    <row r="5" spans="1:5" ht="18.75">
      <c r="A5" s="667" t="s">
        <v>2059</v>
      </c>
    </row>
    <row r="6" spans="1:5" ht="18.75">
      <c r="A6" s="667" t="s">
        <v>2060</v>
      </c>
    </row>
    <row r="7" spans="1:5" ht="18.75">
      <c r="A7" s="667" t="s">
        <v>2061</v>
      </c>
    </row>
    <row r="8" spans="1:5" ht="18.75">
      <c r="A8" s="667" t="s">
        <v>2062</v>
      </c>
    </row>
    <row r="9" spans="1:5" ht="18.75">
      <c r="A9" s="667" t="s">
        <v>2063</v>
      </c>
    </row>
    <row r="10" spans="1:5" ht="18.75">
      <c r="A10" s="667" t="s">
        <v>2064</v>
      </c>
    </row>
    <row r="11" spans="1:5" ht="18.75">
      <c r="A11" s="667" t="s">
        <v>2065</v>
      </c>
    </row>
    <row r="12" spans="1:5" ht="18.75">
      <c r="A12" s="667" t="s">
        <v>2066</v>
      </c>
    </row>
    <row r="13" spans="1:5" ht="18.75">
      <c r="A13" s="667" t="s">
        <v>2067</v>
      </c>
    </row>
    <row r="14" spans="1:5" ht="18.75">
      <c r="A14" s="667" t="s">
        <v>2068</v>
      </c>
    </row>
    <row r="15" spans="1:5" ht="18.75">
      <c r="A15" s="667" t="s">
        <v>2069</v>
      </c>
    </row>
    <row r="16" spans="1:5" ht="18.75">
      <c r="A16" s="667" t="s">
        <v>2070</v>
      </c>
    </row>
    <row r="17" spans="1:1" ht="18.75">
      <c r="A17" s="667" t="s">
        <v>2071</v>
      </c>
    </row>
    <row r="18" spans="1:1" ht="18.75">
      <c r="A18" s="667" t="s">
        <v>2072</v>
      </c>
    </row>
    <row r="19" spans="1:1" ht="18.75">
      <c r="A19" s="667" t="s">
        <v>2073</v>
      </c>
    </row>
    <row r="20" spans="1:1" ht="18.75">
      <c r="A20" s="667" t="s">
        <v>2074</v>
      </c>
    </row>
    <row r="21" spans="1:1" ht="18.75">
      <c r="A21" s="667" t="s">
        <v>2075</v>
      </c>
    </row>
    <row r="22" spans="1:1" ht="18.75">
      <c r="A22" s="667" t="s">
        <v>2076</v>
      </c>
    </row>
    <row r="23" spans="1:1" ht="18.75">
      <c r="A23" s="667" t="s">
        <v>2077</v>
      </c>
    </row>
    <row r="24" spans="1:1" ht="18.75">
      <c r="A24" s="667" t="s">
        <v>2078</v>
      </c>
    </row>
    <row r="25" spans="1:1" ht="18.75">
      <c r="A25" s="667" t="s">
        <v>2079</v>
      </c>
    </row>
    <row r="26" spans="1:1" ht="18.75">
      <c r="A26" s="667" t="s">
        <v>2080</v>
      </c>
    </row>
    <row r="27" spans="1:1" ht="18.75">
      <c r="A27" s="667" t="s">
        <v>2081</v>
      </c>
    </row>
    <row r="28" spans="1:1" ht="18.75">
      <c r="A28" s="667" t="s">
        <v>2082</v>
      </c>
    </row>
    <row r="29" spans="1:1" ht="18.75">
      <c r="A29" s="667" t="s">
        <v>2083</v>
      </c>
    </row>
    <row r="30" spans="1:1" ht="18.75">
      <c r="A30" s="667" t="s">
        <v>2084</v>
      </c>
    </row>
    <row r="31" spans="1:1" ht="18.75">
      <c r="A31" s="667" t="s">
        <v>2085</v>
      </c>
    </row>
    <row r="32" spans="1:1" ht="18.75">
      <c r="A32" s="667" t="s">
        <v>2086</v>
      </c>
    </row>
    <row r="33" spans="1:1" ht="18.75">
      <c r="A33" s="667" t="s">
        <v>2087</v>
      </c>
    </row>
    <row r="34" spans="1:1" ht="18.75">
      <c r="A34" s="667" t="s">
        <v>2088</v>
      </c>
    </row>
    <row r="35" spans="1:1" ht="18.75">
      <c r="A35" s="667" t="s">
        <v>2089</v>
      </c>
    </row>
    <row r="36" spans="1:1" ht="18.75">
      <c r="A36" s="667" t="s">
        <v>2090</v>
      </c>
    </row>
    <row r="37" spans="1:1" ht="18.75">
      <c r="A37" s="667" t="s">
        <v>2091</v>
      </c>
    </row>
    <row r="38" spans="1:1" ht="18.75">
      <c r="A38" s="667" t="s">
        <v>2092</v>
      </c>
    </row>
    <row r="39" spans="1:1" ht="18.75">
      <c r="A39" s="667" t="s">
        <v>2093</v>
      </c>
    </row>
    <row r="40" spans="1:1" ht="18.75">
      <c r="A40" s="667" t="s">
        <v>2094</v>
      </c>
    </row>
    <row r="41" spans="1:1" ht="18.75">
      <c r="A41" s="667" t="s">
        <v>2095</v>
      </c>
    </row>
    <row r="42" spans="1:1" ht="18.75">
      <c r="A42" s="667" t="s">
        <v>2096</v>
      </c>
    </row>
    <row r="43" spans="1:1" ht="18.75">
      <c r="A43" s="667" t="s">
        <v>2097</v>
      </c>
    </row>
    <row r="44" spans="1:1" ht="18.75">
      <c r="A44" s="667" t="s">
        <v>2098</v>
      </c>
    </row>
    <row r="45" spans="1:1" ht="18.75">
      <c r="A45" s="667" t="s">
        <v>2099</v>
      </c>
    </row>
    <row r="46" spans="1:1" ht="18.75">
      <c r="A46" s="667" t="s">
        <v>2100</v>
      </c>
    </row>
    <row r="47" spans="1:1" ht="18.75">
      <c r="A47" s="667" t="s">
        <v>2101</v>
      </c>
    </row>
    <row r="48" spans="1:1" ht="18.75">
      <c r="A48" s="667" t="s">
        <v>2102</v>
      </c>
    </row>
    <row r="49" spans="1:1" ht="18.75">
      <c r="A49" s="667" t="s">
        <v>2103</v>
      </c>
    </row>
    <row r="50" spans="1:1" ht="18.75">
      <c r="A50" s="667" t="s">
        <v>2104</v>
      </c>
    </row>
    <row r="51" spans="1:1" ht="18.75">
      <c r="A51" s="667" t="s">
        <v>2105</v>
      </c>
    </row>
    <row r="52" spans="1:1" ht="18.75">
      <c r="A52" s="667" t="s">
        <v>2106</v>
      </c>
    </row>
    <row r="53" spans="1:1" ht="18.75">
      <c r="A53" s="667" t="s">
        <v>2107</v>
      </c>
    </row>
    <row r="54" spans="1:1" ht="18.75">
      <c r="A54" s="667" t="s">
        <v>2108</v>
      </c>
    </row>
    <row r="55" spans="1:1" ht="18.75">
      <c r="A55" s="667" t="s">
        <v>2109</v>
      </c>
    </row>
    <row r="56" spans="1:1" ht="18.75">
      <c r="A56" s="667" t="s">
        <v>2110</v>
      </c>
    </row>
    <row r="57" spans="1:1" ht="18.75">
      <c r="A57" s="667" t="s">
        <v>2111</v>
      </c>
    </row>
    <row r="58" spans="1:1" ht="18.75">
      <c r="A58" s="667" t="s">
        <v>2112</v>
      </c>
    </row>
    <row r="59" spans="1:1" ht="18.75">
      <c r="A59" s="667" t="s">
        <v>2113</v>
      </c>
    </row>
    <row r="60" spans="1:1" ht="18.75">
      <c r="A60" s="667" t="s">
        <v>2114</v>
      </c>
    </row>
    <row r="61" spans="1:1" ht="18.75">
      <c r="A61" s="667" t="s">
        <v>2115</v>
      </c>
    </row>
    <row r="62" spans="1:1" ht="18.75">
      <c r="A62" s="667" t="s">
        <v>2116</v>
      </c>
    </row>
    <row r="63" spans="1:1" ht="18.75">
      <c r="A63" s="667" t="s">
        <v>2117</v>
      </c>
    </row>
    <row r="64" spans="1:1" ht="18.75">
      <c r="A64" s="667" t="s">
        <v>2118</v>
      </c>
    </row>
    <row r="65" spans="1:1" ht="18.75">
      <c r="A65" s="667" t="s">
        <v>2119</v>
      </c>
    </row>
    <row r="66" spans="1:1" ht="18.75">
      <c r="A66" s="667" t="s">
        <v>2120</v>
      </c>
    </row>
    <row r="67" spans="1:1" ht="18.75">
      <c r="A67" s="667" t="s">
        <v>2121</v>
      </c>
    </row>
    <row r="68" spans="1:1" ht="18.75">
      <c r="A68" s="667" t="s">
        <v>2122</v>
      </c>
    </row>
    <row r="69" spans="1:1" ht="18.75">
      <c r="A69" s="667" t="s">
        <v>2123</v>
      </c>
    </row>
    <row r="70" spans="1:1" ht="18.75">
      <c r="A70" s="667" t="s">
        <v>2124</v>
      </c>
    </row>
    <row r="71" spans="1:1" ht="18.75">
      <c r="A71" s="667" t="s">
        <v>2125</v>
      </c>
    </row>
    <row r="72" spans="1:1" ht="18.75">
      <c r="A72" s="667" t="s">
        <v>2126</v>
      </c>
    </row>
    <row r="73" spans="1:1" ht="18.75">
      <c r="A73" s="667" t="s">
        <v>2127</v>
      </c>
    </row>
    <row r="74" spans="1:1" ht="18.75">
      <c r="A74" s="667" t="s">
        <v>2128</v>
      </c>
    </row>
    <row r="75" spans="1:1" ht="18.75">
      <c r="A75" s="667" t="s">
        <v>2129</v>
      </c>
    </row>
    <row r="76" spans="1:1" ht="18.75">
      <c r="A76" s="667" t="s">
        <v>2130</v>
      </c>
    </row>
    <row r="77" spans="1:1" ht="18.75">
      <c r="A77" s="667" t="s">
        <v>2131</v>
      </c>
    </row>
    <row r="78" spans="1:1" ht="18.75">
      <c r="A78" s="667" t="s">
        <v>2132</v>
      </c>
    </row>
    <row r="79" spans="1:1" ht="18.75">
      <c r="A79" s="666"/>
    </row>
    <row r="80" spans="1:1" ht="18.75">
      <c r="A80" s="666"/>
    </row>
    <row r="81" spans="1:1" ht="18.75">
      <c r="A81" s="666"/>
    </row>
    <row r="82" spans="1:1" ht="18.75">
      <c r="A82" s="666"/>
    </row>
    <row r="83" spans="1:1" ht="18.75">
      <c r="A83" s="666"/>
    </row>
    <row r="84" spans="1:1" ht="18.75">
      <c r="A84" s="666"/>
    </row>
  </sheetData>
  <sheetProtection password="E09F" sheet="1" formatCells="0" formatColumns="0" formatRows="0" insertColumns="0" insertRows="0" insertHyperlinks="0" deleteColumns="0" deleteRows="0" sort="0" autoFilter="0" pivotTables="0"/>
  <hyperlinks>
    <hyperlink ref="A4" location="'1 IF a'!A1" display="1.      IF - Specifies a logical test to perform"/>
    <hyperlink ref="A5" location="'2 SUM'!A1" display="2.      SUM - Adds its arguments"/>
    <hyperlink ref="A6" location="'3 SUBTOTAL a'!A1" display="3.      SUBTOTAL - Returns a subtotal in a list or database"/>
    <hyperlink ref="A7" location="'4 SUMIF'!A1" display="4.      SUMIF - Adds the cells specified by a given criteria"/>
    <hyperlink ref="A8" location="'5 COUNT'!A1" display="5.      COUNT - Counts how many numbers are in the list of arguments"/>
    <hyperlink ref="A9" location="'6 COUNTA'!A1" display="6.      COUNTA - Counts how many values are in the list of arguments"/>
    <hyperlink ref="A10" location="'7 AVERAGE'!A1" display="7.      AVERAGE - Returns the average of a range of numbers"/>
    <hyperlink ref="A11" location="'8 COUNTBLANK'!A1" display="8.      COUNTBLANK - Counts the number of blank cells within a range"/>
    <hyperlink ref="A12" location="'9 COUNTIF'!A1" display="9.      COUNTIF - Counts the number of nonblank cells within a range that meet the given criteria"/>
    <hyperlink ref="A13" location="'10 Value'!A1" display="10.  VALUE - Converts text to a number"/>
    <hyperlink ref="A14" location="'11 TEXT'!A1" display="11.  TEXT - Formats a number and converts it to text"/>
    <hyperlink ref="A15" location="'12 VLOOKUP'!A1" display="12.  VLOOKUP - Looks in the first column of an array and moves across the row to return the value of a cell"/>
    <hyperlink ref="A16" location="'13 HLOOKUP'!A1" display="13.  HLOOKUP - Looks in the top row of an array and returns the value of the indicated cell"/>
    <hyperlink ref="A17" location="'14 TWO WAY LOOKUP'!A1" display="14.  TWO WAY LOOKUP – Using both VLOOKUP and HLOOKUP together"/>
    <hyperlink ref="A18" location="'15 LOOKUP'!A1" display="15.  LOOKUP - Looks up values in a vector or array"/>
    <hyperlink ref="A19" location="'16 MATCH'!A1" display="16.  MATCH - Looks up values in a reference or array"/>
    <hyperlink ref="A20" location="'17 TRIM'!A1" display="17.  TRIM - Removes spaces from text"/>
    <hyperlink ref="A21" location="'18 PROPER'!A1" display="18.  PROPER - Capitalizes the first letter in each word of a text value"/>
    <hyperlink ref="A22" location="'19 LOWER'!A1" display="19.  LOWER - Converts text to lowercase"/>
    <hyperlink ref="A23" location="'20 UPPER'!A1" display="20.  UPPER - Converts text to uppercase"/>
    <hyperlink ref="A24" location="'21 LEFT'!A1" display="21.  LEFT - Returns the leftmost characters from a text value"/>
    <hyperlink ref="A25" location="'22 RIGHT'!A1" display="22.  RIGHT - Returns the rightmost characters from a text value"/>
    <hyperlink ref="A26" location="'23 MID'!A1" display="23.  MID - Returns a specific number of characters from a text string starting at the position you specify"/>
    <hyperlink ref="A27" location="'24 FIND'!A1" display="24.  FIND - Finds one text value within another (case-sensitive)"/>
    <hyperlink ref="A28" location="'25 SUBSTITUTE'!A1" display="25.  SUBSTITUTE - Substitutes new text for old text in a text string"/>
    <hyperlink ref="A29" location="'26 LEN'!A1" display="26.  LEN - Returns the number of characters in a text string"/>
    <hyperlink ref="A30" location="'27 REPLACE'!A1" display="27.  REPLACE - Replaces text in a string with alternative text"/>
    <hyperlink ref="A31" location="'28 CONCANTENATE'!A1" display="28.  CONCATENATE - Joins several text items into one text item"/>
    <hyperlink ref="A32" location="'29 CLEAN'!A1" display="29.  CLEAN - Removes all nonprintable characters from text"/>
    <hyperlink ref="A33" location="'30 NOW'!A1" display="30.  NOW - Returns the serial number of the current date and time"/>
    <hyperlink ref="A34" location="'31 TODAY'!A1" display="31.  TODAY - Returns the serial number of today's date"/>
    <hyperlink ref="A35" location="'32 DATE'!A1" display="32.  DATE - Returns the serial number of a particular date"/>
    <hyperlink ref="A36" location="'33 MONTH'!A1" display="33.  MONTH - Converts a serial number to a month"/>
    <hyperlink ref="A37" location="'34 DAY'!A1" display="34.  DAY - Converts a serial number to a day of the month"/>
    <hyperlink ref="A38" location="'35 YEAR'!A1" display="35.  YEAR - Converts a serial number to a year"/>
    <hyperlink ref="A39" location="'36 WEEKDAY'!A1" display="36.  WEEKDAY - Converts a serial number to a day of the week"/>
    <hyperlink ref="A40" location="'37 ROUND'!A1" display="37.  ROUND - Rounds a number to a specified number of digits"/>
    <hyperlink ref="A41" location="'38 ROUNDDOWN'!A1" display="38.  ROUNDDOWN - Rounds a number down, toward zero"/>
    <hyperlink ref="A42" location="'39 ROUNDUP (2)'!A1" display="39.  ROUNDUP - Rounds a number up, away from zero"/>
    <hyperlink ref="A43" location="'40 MAX'!A1" display="40.  MAX - Returns the maximum value in a list of arguments"/>
    <hyperlink ref="A44" location="'41 DMAX '!A1" display="41.  DMAX - Returns the maximum value from a table array based on a list of arguments"/>
    <hyperlink ref="A45" location="'42 MIN '!A1" display="42.  MIN - Returns the minimum value in a list of arguments"/>
    <hyperlink ref="A46" location="'43 DMIN'!A1" display="43.  DMIN - Returns the minimum value from a table array based on a list of arguments"/>
    <hyperlink ref="A47" location="'44 MEDIAN'!A1" display="44.  MEDIAN - Returns the median of the given numbers"/>
    <hyperlink ref="A48" location="'45 MODE'!A1" display="45.  MODE - Returns the most common value in a data set"/>
    <hyperlink ref="A49" location="'46 PERCENTILE'!A1" display="46.  PERCENTILE - Returns the k-th percentile of values in a range"/>
    <hyperlink ref="A50" location="'47 PERCENTRANK'!A1" display="47.  PERCENTRANK - Returns the percentage rank of a value in a data set"/>
    <hyperlink ref="A51" location="'48 PMT'!A1" display="48.  PMT - Returns the periodic payment for an annuity"/>
    <hyperlink ref="A52" location="'49 NPV'!A1" display="49.  NPV - Returns the net present value of an investment based on a series of periodic cash flows and a discount rate"/>
    <hyperlink ref="A53" location="'50 DSUM'!A1" display="50.  DSUM - Adds the numbers in the field column of records in the database that match the criteria"/>
    <hyperlink ref="A54" location="'51 DCOUNT'!A1" display="51.  DCOUNT - Counts the cells that contain numbers in a database"/>
    <hyperlink ref="A55" location="'52 DCOUNTA'!A1" display="52.  DCOUNTA - Counts nonblank cells in a database"/>
    <hyperlink ref="A56" location="'53 AND'!A1" display="53.  AND - Returns TRUE if all of its arguments are TRUE"/>
    <hyperlink ref="A57" location="'54 OR'!A1" display="54.  OR - Returns TRUE if any argument is TRUE"/>
    <hyperlink ref="A58" location="'55 CHOOSE'!A1" display="55.  CHOOSE - Chooses a value from a list of values"/>
    <hyperlink ref="A59" location="'56 TIME'!A1" display="56.  TIME - Returns the serial number of a particular time"/>
    <hyperlink ref="A60" location="'57 FV'!A1" display="57.  FV - Returns the future value of an investment"/>
    <hyperlink ref="A61" location="'58 IRR'!A1" display="58.  IRR - Returns the internal rate of return for a series of cash flows"/>
    <hyperlink ref="A62" location="'59 YIELD'!A1" display="59.  YIELD - Returns the yield on a security that pays periodic interest"/>
    <hyperlink ref="A63" location="'60 CELL'!A1" display="60.  CELL - Returns information about the formatting, location, or contents of a cell"/>
    <hyperlink ref="A64" location="'61 INFO'!A1" display="61.  INFO - Returns information about the current operating environment"/>
    <hyperlink ref="A65" location="'62 ERROR TYPE'!A1" display="62.  ERROR.TYPE - Returns a number corresponding to an error type"/>
    <hyperlink ref="A66" location="'63 ISBLANK'!A1" display="63.  ISBLANK - Returns TRUE if the value is blank"/>
    <hyperlink ref="A67" location="'64 ISNA'!A1" display="64.  ISNA - Returns TRUE if the value is the #N/A error value"/>
    <hyperlink ref="A68" location="'65 GETPIVOTDATA'!A1" display="65.  GETPIVOTDATA - Returns data stored in a PivotTable"/>
    <hyperlink ref="A69" location="'66 HYPERLINK'!A1" display="66.  HYPERLINK - Creates a shortcut or jump that opens a document stored on a network server, an intranet, or the Internet"/>
    <hyperlink ref="A70" location="'67 TRANSPOSE'!A1" display="67.  TRANSPOSE - Returns the transpose of an array"/>
    <hyperlink ref="A71" location="'68 ABS'!A1" display="68.  ABS - Returns the absolute value of a number"/>
    <hyperlink ref="A72" location="'69 RAND'!A1" display="69.  RAND - Returns a random number between 0 and 1"/>
    <hyperlink ref="A73" location="'70 RANDBETWEEN'!A1" display="70.  RANDBETWEEN - Returns a random number between the numbers you specify"/>
    <hyperlink ref="A74" location="'71 REPT'!A1" display="71.  REPT - Repeats text a given number of times"/>
    <hyperlink ref="A75" location="'72 SLN'!A1" display="72.  SLN - Returns the straight-line depreciation of an asset for one period"/>
    <hyperlink ref="A76" location="'73 SYD'!A1" display="73.  SYD - Returns the sum-of-years' digits depreciation of an asset for a specified period"/>
    <hyperlink ref="A77" location="'74 DDB'!A1" display="74.  DDB - Returns the double declining balance depreciation of an asset for a specified period"/>
    <hyperlink ref="A78" location="'75 DGET'!A1" display="75.  DGET - Extracts from a database a single record that matches the specified criteria"/>
  </hyperlinks>
  <printOptions horizontalCentered="1"/>
  <pageMargins left="0.5" right="0.5" top="0.75" bottom="0.75" header="0.3" footer="0.3"/>
  <pageSetup scale="87" orientation="landscape" r:id="rId1"/>
  <headerFooter>
    <oddFooter>&amp;LBoni Mays
Fayetteville Technical Community College&amp;C&amp;P&amp;Rwww.maysstuff.com</oddFooter>
  </headerFooter>
</worksheet>
</file>

<file path=xl/worksheets/sheet10.xml><?xml version="1.0" encoding="utf-8"?>
<worksheet xmlns="http://schemas.openxmlformats.org/spreadsheetml/2006/main" xmlns:r="http://schemas.openxmlformats.org/officeDocument/2006/relationships">
  <dimension ref="A1:F38"/>
  <sheetViews>
    <sheetView showGridLines="0" workbookViewId="0">
      <selection activeCell="F4" sqref="F4"/>
    </sheetView>
  </sheetViews>
  <sheetFormatPr defaultRowHeight="15"/>
  <cols>
    <col min="1" max="4" width="9.140625" style="3"/>
    <col min="5" max="5" width="26.140625" style="3" customWidth="1"/>
    <col min="6" max="16384" width="9.140625" style="3"/>
  </cols>
  <sheetData>
    <row r="1" spans="1:6" ht="21">
      <c r="A1" s="32" t="s">
        <v>521</v>
      </c>
      <c r="E1" s="637" t="s">
        <v>2056</v>
      </c>
    </row>
    <row r="2" spans="1:6">
      <c r="F2" s="506" t="s">
        <v>706</v>
      </c>
    </row>
    <row r="3" spans="1:6">
      <c r="E3" s="507" t="s">
        <v>703</v>
      </c>
      <c r="F3" s="3">
        <v>3</v>
      </c>
    </row>
    <row r="4" spans="1:6">
      <c r="E4" s="507" t="s">
        <v>704</v>
      </c>
      <c r="F4" s="3">
        <v>3</v>
      </c>
    </row>
    <row r="5" spans="1:6">
      <c r="E5" s="507" t="s">
        <v>705</v>
      </c>
      <c r="F5" s="3">
        <v>3</v>
      </c>
    </row>
    <row r="6" spans="1:6">
      <c r="E6" s="3" t="s">
        <v>699</v>
      </c>
      <c r="F6" s="508">
        <f>SUBTOTAL(9,F3:F5)</f>
        <v>9</v>
      </c>
    </row>
    <row r="8" spans="1:6">
      <c r="E8" s="507" t="s">
        <v>703</v>
      </c>
      <c r="F8" s="3">
        <v>5</v>
      </c>
    </row>
    <row r="9" spans="1:6">
      <c r="E9" s="507" t="s">
        <v>704</v>
      </c>
      <c r="F9" s="3">
        <v>5</v>
      </c>
    </row>
    <row r="10" spans="1:6">
      <c r="E10" s="507" t="s">
        <v>705</v>
      </c>
      <c r="F10" s="3">
        <v>5</v>
      </c>
    </row>
    <row r="11" spans="1:6">
      <c r="E11" s="3" t="s">
        <v>699</v>
      </c>
      <c r="F11" s="508">
        <f>SUBTOTAL(9,F8:F10)</f>
        <v>15</v>
      </c>
    </row>
    <row r="13" spans="1:6">
      <c r="E13" s="507" t="s">
        <v>703</v>
      </c>
      <c r="F13" s="3">
        <v>7</v>
      </c>
    </row>
    <row r="14" spans="1:6">
      <c r="E14" s="507" t="s">
        <v>704</v>
      </c>
      <c r="F14" s="3">
        <v>7</v>
      </c>
    </row>
    <row r="15" spans="1:6">
      <c r="E15" s="507" t="s">
        <v>705</v>
      </c>
      <c r="F15" s="3">
        <v>7</v>
      </c>
    </row>
    <row r="16" spans="1:6">
      <c r="E16" s="3" t="s">
        <v>699</v>
      </c>
      <c r="F16" s="508">
        <f>SUBTOTAL(9,F13:F15)</f>
        <v>21</v>
      </c>
    </row>
    <row r="18" spans="5:6">
      <c r="E18" s="509" t="s">
        <v>700</v>
      </c>
      <c r="F18" s="510">
        <f>SUBTOTAL(9,F3:F16)</f>
        <v>45</v>
      </c>
    </row>
    <row r="20" spans="5:6">
      <c r="E20" s="507" t="s">
        <v>703</v>
      </c>
      <c r="F20" s="3">
        <v>3</v>
      </c>
    </row>
    <row r="21" spans="5:6">
      <c r="E21" s="507" t="s">
        <v>704</v>
      </c>
      <c r="F21" s="3">
        <v>3</v>
      </c>
    </row>
    <row r="22" spans="5:6">
      <c r="E22" s="507" t="s">
        <v>705</v>
      </c>
      <c r="F22" s="3">
        <v>3</v>
      </c>
    </row>
    <row r="23" spans="5:6">
      <c r="E23" s="3" t="s">
        <v>699</v>
      </c>
      <c r="F23" s="508">
        <f>SUBTOTAL(9,F20:F22)</f>
        <v>9</v>
      </c>
    </row>
    <row r="25" spans="5:6">
      <c r="E25" s="507" t="s">
        <v>703</v>
      </c>
      <c r="F25" s="3">
        <v>5</v>
      </c>
    </row>
    <row r="26" spans="5:6">
      <c r="E26" s="507" t="s">
        <v>704</v>
      </c>
      <c r="F26" s="3">
        <v>5</v>
      </c>
    </row>
    <row r="27" spans="5:6">
      <c r="E27" s="507" t="s">
        <v>705</v>
      </c>
      <c r="F27" s="3">
        <v>5</v>
      </c>
    </row>
    <row r="28" spans="5:6">
      <c r="E28" s="3" t="s">
        <v>699</v>
      </c>
      <c r="F28" s="508">
        <f>SUBTOTAL(9,F25:F27)</f>
        <v>15</v>
      </c>
    </row>
    <row r="30" spans="5:6">
      <c r="E30" s="507" t="s">
        <v>703</v>
      </c>
      <c r="F30" s="3">
        <v>7</v>
      </c>
    </row>
    <row r="31" spans="5:6">
      <c r="E31" s="507" t="s">
        <v>704</v>
      </c>
      <c r="F31" s="3">
        <v>7</v>
      </c>
    </row>
    <row r="32" spans="5:6">
      <c r="E32" s="507" t="s">
        <v>705</v>
      </c>
      <c r="F32" s="3">
        <v>7</v>
      </c>
    </row>
    <row r="33" spans="5:6">
      <c r="E33" s="3" t="s">
        <v>699</v>
      </c>
      <c r="F33" s="508">
        <f>SUBTOTAL(9,F30:F32)</f>
        <v>21</v>
      </c>
    </row>
    <row r="35" spans="5:6">
      <c r="E35" s="509" t="s">
        <v>700</v>
      </c>
      <c r="F35" s="510">
        <f>SUBTOTAL(9,F20:F33)</f>
        <v>45</v>
      </c>
    </row>
    <row r="37" spans="5:6" ht="15.75" thickBot="1">
      <c r="E37" s="511" t="s">
        <v>702</v>
      </c>
      <c r="F37" s="512">
        <f>SUBTOTAL(9,F1:F36)</f>
        <v>90</v>
      </c>
    </row>
    <row r="38" spans="5:6" ht="15.75" thickTop="1"/>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I77"/>
  <sheetViews>
    <sheetView showGridLines="0" workbookViewId="0">
      <selection activeCell="F4" sqref="F4"/>
    </sheetView>
  </sheetViews>
  <sheetFormatPr defaultRowHeight="15.75"/>
  <cols>
    <col min="1" max="1" width="3.28515625" style="211" customWidth="1"/>
    <col min="2" max="5" width="2.140625" style="319" customWidth="1"/>
    <col min="6" max="6" width="34.42578125" style="327" customWidth="1"/>
    <col min="7" max="7" width="20.7109375" style="327" customWidth="1"/>
    <col min="8" max="8" width="16.42578125" style="468" customWidth="1"/>
    <col min="9" max="9" width="21.85546875" style="328" hidden="1" customWidth="1"/>
    <col min="10" max="16384" width="9.140625" style="211"/>
  </cols>
  <sheetData>
    <row r="1" spans="1:9" ht="26.25">
      <c r="A1" s="288" t="s">
        <v>521</v>
      </c>
      <c r="E1" s="643" t="s">
        <v>2056</v>
      </c>
    </row>
    <row r="2" spans="1:9" ht="31.5" hidden="1">
      <c r="A2" s="469"/>
      <c r="D2" s="327" t="s">
        <v>640</v>
      </c>
      <c r="E2" s="327"/>
    </row>
    <row r="3" spans="1:9" ht="19.5" hidden="1" customHeight="1">
      <c r="A3" s="469"/>
      <c r="D3" s="327"/>
      <c r="E3" s="327" t="s">
        <v>641</v>
      </c>
      <c r="G3" s="470">
        <v>0.08</v>
      </c>
    </row>
    <row r="4" spans="1:9" hidden="1">
      <c r="D4" s="327"/>
      <c r="E4" s="471" t="s">
        <v>642</v>
      </c>
      <c r="G4" s="472">
        <v>4.4999999999999998E-2</v>
      </c>
    </row>
    <row r="5" spans="1:9">
      <c r="B5" s="473"/>
      <c r="C5" s="473"/>
      <c r="D5" s="473"/>
      <c r="E5" s="473"/>
      <c r="F5" s="473"/>
      <c r="G5" s="474"/>
      <c r="I5" s="475"/>
    </row>
    <row r="6" spans="1:9" ht="16.5" thickBot="1">
      <c r="B6" s="476"/>
      <c r="C6" s="476"/>
      <c r="D6" s="476"/>
      <c r="E6" s="476"/>
      <c r="F6" s="476"/>
      <c r="G6" s="477">
        <v>2010</v>
      </c>
      <c r="I6" s="478" t="s">
        <v>643</v>
      </c>
    </row>
    <row r="7" spans="1:9">
      <c r="A7" s="479"/>
      <c r="B7" s="480" t="s">
        <v>644</v>
      </c>
      <c r="C7" s="480"/>
      <c r="D7" s="480"/>
      <c r="E7" s="480"/>
      <c r="F7" s="480"/>
      <c r="G7" s="481"/>
      <c r="I7" s="482"/>
    </row>
    <row r="8" spans="1:9">
      <c r="A8" s="479"/>
      <c r="B8" s="483"/>
      <c r="C8" s="483"/>
      <c r="D8" s="483" t="s">
        <v>645</v>
      </c>
      <c r="E8" s="483"/>
      <c r="F8" s="483"/>
      <c r="G8" s="481"/>
      <c r="H8" s="484"/>
      <c r="I8" s="482"/>
    </row>
    <row r="9" spans="1:9">
      <c r="A9" s="479"/>
      <c r="B9" s="485"/>
      <c r="C9" s="485"/>
      <c r="D9" s="485"/>
      <c r="E9" s="485"/>
      <c r="F9" s="485" t="s">
        <v>646</v>
      </c>
      <c r="G9" s="486">
        <v>1662130.8</v>
      </c>
      <c r="H9" s="484">
        <f>G3</f>
        <v>0.08</v>
      </c>
      <c r="I9" s="487">
        <f>G9*(1+H9)</f>
        <v>1795101.2640000002</v>
      </c>
    </row>
    <row r="10" spans="1:9">
      <c r="A10" s="479"/>
      <c r="B10" s="485"/>
      <c r="C10" s="485"/>
      <c r="D10" s="485"/>
      <c r="E10" s="485"/>
      <c r="F10" s="485" t="s">
        <v>647</v>
      </c>
      <c r="G10" s="481">
        <v>-2557.1999999999998</v>
      </c>
      <c r="H10" s="484">
        <f>H9</f>
        <v>0.08</v>
      </c>
      <c r="I10" s="482">
        <f>G10*(1+H10)</f>
        <v>-2761.7759999999998</v>
      </c>
    </row>
    <row r="11" spans="1:9" ht="18">
      <c r="A11" s="479"/>
      <c r="B11" s="485"/>
      <c r="C11" s="485"/>
      <c r="D11" s="485"/>
      <c r="E11" s="485"/>
      <c r="F11" s="485" t="s">
        <v>648</v>
      </c>
      <c r="G11" s="488">
        <v>0</v>
      </c>
      <c r="H11" s="484"/>
      <c r="I11" s="489">
        <v>0</v>
      </c>
    </row>
    <row r="12" spans="1:9" ht="18">
      <c r="A12" s="479"/>
      <c r="B12" s="485"/>
      <c r="C12" s="485"/>
      <c r="D12" s="490" t="s">
        <v>649</v>
      </c>
      <c r="E12" s="490"/>
      <c r="F12" s="490"/>
      <c r="G12" s="491">
        <f>SUBTOTAL(9, (G8:G11))</f>
        <v>1659573.6</v>
      </c>
      <c r="H12" s="484"/>
      <c r="I12" s="492">
        <f>SUBTOTAL(9, (I8:I11))</f>
        <v>1792339.4880000001</v>
      </c>
    </row>
    <row r="13" spans="1:9" ht="18">
      <c r="A13" s="479"/>
      <c r="B13" s="485"/>
      <c r="C13" s="485"/>
      <c r="D13" s="490"/>
      <c r="E13" s="490"/>
      <c r="F13" s="490"/>
      <c r="G13" s="493"/>
      <c r="H13" s="484"/>
      <c r="I13" s="494"/>
    </row>
    <row r="14" spans="1:9">
      <c r="A14" s="479"/>
      <c r="B14" s="483"/>
      <c r="C14" s="483"/>
      <c r="D14" s="483" t="s">
        <v>650</v>
      </c>
      <c r="E14" s="483"/>
      <c r="F14" s="483"/>
      <c r="G14" s="481"/>
      <c r="H14" s="484"/>
      <c r="I14" s="482"/>
    </row>
    <row r="15" spans="1:9">
      <c r="A15" s="479"/>
      <c r="B15" s="485"/>
      <c r="C15" s="485"/>
      <c r="D15" s="485"/>
      <c r="E15" s="485"/>
      <c r="F15" s="485" t="s">
        <v>651</v>
      </c>
      <c r="G15" s="481">
        <v>-1125367.08</v>
      </c>
      <c r="H15" s="484">
        <f>G4</f>
        <v>4.4999999999999998E-2</v>
      </c>
      <c r="I15" s="482">
        <f>G15*(1+H15)</f>
        <v>-1176008.5985999999</v>
      </c>
    </row>
    <row r="16" spans="1:9" ht="18">
      <c r="A16" s="479"/>
      <c r="B16" s="485"/>
      <c r="C16" s="485"/>
      <c r="D16" s="485"/>
      <c r="E16" s="485"/>
      <c r="F16" s="485" t="s">
        <v>652</v>
      </c>
      <c r="G16" s="488">
        <v>2177.16</v>
      </c>
      <c r="H16" s="484">
        <f>$H$15</f>
        <v>4.4999999999999998E-2</v>
      </c>
      <c r="I16" s="489">
        <f>G16*(1+H16)</f>
        <v>2275.1321999999996</v>
      </c>
    </row>
    <row r="17" spans="1:9" ht="18">
      <c r="A17" s="479"/>
      <c r="B17" s="485"/>
      <c r="C17" s="485"/>
      <c r="D17" s="490" t="s">
        <v>653</v>
      </c>
      <c r="E17" s="490"/>
      <c r="F17" s="490"/>
      <c r="G17" s="491">
        <f>SUBTOTAL(9, (G14:G16))</f>
        <v>-1123189.9200000002</v>
      </c>
      <c r="H17" s="484"/>
      <c r="I17" s="492">
        <f>SUBTOTAL(9, (I14:I16))</f>
        <v>-1173733.4663999998</v>
      </c>
    </row>
    <row r="18" spans="1:9" ht="18">
      <c r="A18" s="479"/>
      <c r="B18" s="485"/>
      <c r="C18" s="485"/>
      <c r="D18" s="490"/>
      <c r="E18" s="490"/>
      <c r="F18" s="490"/>
      <c r="G18" s="493"/>
      <c r="H18" s="484"/>
      <c r="I18" s="494"/>
    </row>
    <row r="19" spans="1:9" ht="18">
      <c r="A19" s="479"/>
      <c r="B19" s="485"/>
      <c r="C19" s="490" t="s">
        <v>654</v>
      </c>
      <c r="D19" s="490"/>
      <c r="E19" s="490"/>
      <c r="F19" s="490"/>
      <c r="G19" s="491">
        <f>SUBTOTAL(109,G9:G17)</f>
        <v>536383.68000000005</v>
      </c>
      <c r="H19" s="484"/>
      <c r="I19" s="492">
        <f>SUBTOTAL(109,I9:I17)</f>
        <v>618606.02160000021</v>
      </c>
    </row>
    <row r="20" spans="1:9">
      <c r="A20" s="479"/>
      <c r="B20" s="485"/>
      <c r="C20" s="490" t="s">
        <v>655</v>
      </c>
      <c r="D20" s="490"/>
      <c r="E20" s="490"/>
      <c r="F20" s="490"/>
      <c r="G20" s="495">
        <f>G19/G12</f>
        <v>0.32320571983068425</v>
      </c>
      <c r="H20" s="484"/>
      <c r="I20" s="496">
        <f>I19/I12</f>
        <v>0.34513886779913439</v>
      </c>
    </row>
    <row r="21" spans="1:9">
      <c r="A21" s="479"/>
      <c r="B21" s="485"/>
      <c r="C21" s="490"/>
      <c r="D21" s="490"/>
      <c r="E21" s="490"/>
      <c r="F21" s="490"/>
      <c r="G21" s="495"/>
      <c r="H21" s="484"/>
      <c r="I21" s="496"/>
    </row>
    <row r="22" spans="1:9">
      <c r="A22" s="479"/>
      <c r="B22" s="483"/>
      <c r="C22" s="483"/>
      <c r="D22" s="483" t="s">
        <v>656</v>
      </c>
      <c r="E22" s="483"/>
      <c r="F22" s="483"/>
      <c r="G22" s="481"/>
      <c r="H22" s="484"/>
      <c r="I22" s="482"/>
    </row>
    <row r="23" spans="1:9">
      <c r="A23" s="479"/>
      <c r="B23" s="483"/>
      <c r="C23" s="483"/>
      <c r="D23" s="483"/>
      <c r="E23" s="483" t="s">
        <v>657</v>
      </c>
      <c r="F23" s="483"/>
      <c r="G23" s="481"/>
      <c r="H23" s="484"/>
      <c r="I23" s="482"/>
    </row>
    <row r="24" spans="1:9">
      <c r="A24" s="479"/>
      <c r="B24" s="485"/>
      <c r="C24" s="485"/>
      <c r="D24" s="485"/>
      <c r="E24" s="485"/>
      <c r="F24" s="485" t="s">
        <v>658</v>
      </c>
      <c r="G24" s="481">
        <v>6966.48</v>
      </c>
      <c r="H24" s="484">
        <f>$H$15</f>
        <v>4.4999999999999998E-2</v>
      </c>
      <c r="I24" s="482">
        <f>G24*(1+H24)</f>
        <v>7279.9715999999989</v>
      </c>
    </row>
    <row r="25" spans="1:9">
      <c r="A25" s="479"/>
      <c r="B25" s="485"/>
      <c r="C25" s="485"/>
      <c r="D25" s="485"/>
      <c r="E25" s="485"/>
      <c r="F25" s="485" t="s">
        <v>659</v>
      </c>
      <c r="G25" s="481">
        <v>7200</v>
      </c>
      <c r="H25" s="484">
        <f>$H$15</f>
        <v>4.4999999999999998E-2</v>
      </c>
      <c r="I25" s="482">
        <f>G25*(1+H25)</f>
        <v>7523.9999999999991</v>
      </c>
    </row>
    <row r="26" spans="1:9" ht="18">
      <c r="A26" s="479"/>
      <c r="B26" s="485"/>
      <c r="C26" s="485"/>
      <c r="D26" s="485"/>
      <c r="E26" s="485"/>
      <c r="F26" s="485" t="s">
        <v>660</v>
      </c>
      <c r="G26" s="497">
        <v>1516.8</v>
      </c>
      <c r="H26" s="484">
        <f>$H$15</f>
        <v>4.4999999999999998E-2</v>
      </c>
      <c r="I26" s="498">
        <f>G26*(1+H26)</f>
        <v>1585.0559999999998</v>
      </c>
    </row>
    <row r="27" spans="1:9" ht="18">
      <c r="A27" s="479"/>
      <c r="B27" s="485"/>
      <c r="C27" s="485"/>
      <c r="D27" s="485"/>
      <c r="E27" s="490" t="s">
        <v>661</v>
      </c>
      <c r="F27" s="490"/>
      <c r="G27" s="491">
        <f>SUBTOTAL(9, (G23:G26))</f>
        <v>15683.279999999999</v>
      </c>
      <c r="H27" s="484"/>
      <c r="I27" s="492">
        <f>SUBTOTAL(9, (I23:I26))</f>
        <v>16389.027599999998</v>
      </c>
    </row>
    <row r="28" spans="1:9" ht="18">
      <c r="A28" s="479"/>
      <c r="B28" s="485"/>
      <c r="C28" s="485"/>
      <c r="D28" s="485"/>
      <c r="E28" s="490"/>
      <c r="F28" s="490"/>
      <c r="G28" s="493"/>
      <c r="H28" s="484"/>
      <c r="I28" s="494"/>
    </row>
    <row r="29" spans="1:9">
      <c r="A29" s="479"/>
      <c r="B29" s="485"/>
      <c r="C29" s="485"/>
      <c r="D29" s="485"/>
      <c r="E29" s="485"/>
      <c r="F29" s="485" t="s">
        <v>662</v>
      </c>
      <c r="G29" s="481">
        <v>516</v>
      </c>
      <c r="H29" s="484">
        <f>$H$15</f>
        <v>4.4999999999999998E-2</v>
      </c>
      <c r="I29" s="482">
        <f>G29*(1+H29)</f>
        <v>539.21999999999991</v>
      </c>
    </row>
    <row r="30" spans="1:9">
      <c r="A30" s="479"/>
      <c r="B30" s="485"/>
      <c r="C30" s="485"/>
      <c r="D30" s="485"/>
      <c r="E30" s="485"/>
      <c r="F30" s="485" t="s">
        <v>663</v>
      </c>
      <c r="G30" s="481">
        <v>571.55999999999995</v>
      </c>
      <c r="H30" s="484">
        <f>$H$15</f>
        <v>4.4999999999999998E-2</v>
      </c>
      <c r="I30" s="482">
        <f>G30*(1+H30)</f>
        <v>597.28019999999992</v>
      </c>
    </row>
    <row r="31" spans="1:9">
      <c r="A31" s="479"/>
      <c r="B31" s="483"/>
      <c r="C31" s="483"/>
      <c r="D31" s="483"/>
      <c r="E31" s="483" t="s">
        <v>664</v>
      </c>
      <c r="F31" s="483"/>
      <c r="G31" s="481">
        <v>0</v>
      </c>
      <c r="H31" s="484"/>
      <c r="I31" s="482"/>
    </row>
    <row r="32" spans="1:9">
      <c r="A32" s="479"/>
      <c r="B32" s="485"/>
      <c r="C32" s="485"/>
      <c r="D32" s="485"/>
      <c r="E32" s="485"/>
      <c r="F32" s="485" t="s">
        <v>665</v>
      </c>
      <c r="G32" s="481">
        <v>3000</v>
      </c>
      <c r="H32" s="484">
        <f>$H$15</f>
        <v>4.4999999999999998E-2</v>
      </c>
      <c r="I32" s="482">
        <f>G32*(1+H32)</f>
        <v>3135</v>
      </c>
    </row>
    <row r="33" spans="1:9" ht="18">
      <c r="A33" s="479"/>
      <c r="B33" s="485"/>
      <c r="C33" s="485"/>
      <c r="D33" s="485"/>
      <c r="E33" s="485"/>
      <c r="F33" s="485" t="s">
        <v>666</v>
      </c>
      <c r="G33" s="497">
        <v>900</v>
      </c>
      <c r="H33" s="484">
        <f>$H$15</f>
        <v>4.4999999999999998E-2</v>
      </c>
      <c r="I33" s="498">
        <f>G33*(1+H33)</f>
        <v>940.49999999999989</v>
      </c>
    </row>
    <row r="34" spans="1:9" ht="18">
      <c r="A34" s="479"/>
      <c r="B34" s="485"/>
      <c r="C34" s="485"/>
      <c r="D34" s="485"/>
      <c r="E34" s="490" t="s">
        <v>667</v>
      </c>
      <c r="F34" s="490"/>
      <c r="G34" s="491">
        <f>SUBTOTAL(9, (G31:G33))</f>
        <v>3900</v>
      </c>
      <c r="H34" s="484"/>
      <c r="I34" s="492">
        <f>SUBTOTAL(9, (I31:I33))</f>
        <v>4075.5</v>
      </c>
    </row>
    <row r="35" spans="1:9" ht="18">
      <c r="A35" s="479"/>
      <c r="B35" s="485"/>
      <c r="C35" s="485"/>
      <c r="D35" s="485"/>
      <c r="E35" s="490"/>
      <c r="F35" s="490"/>
      <c r="G35" s="493"/>
      <c r="H35" s="484"/>
      <c r="I35" s="494"/>
    </row>
    <row r="36" spans="1:9">
      <c r="A36" s="479"/>
      <c r="B36" s="485"/>
      <c r="C36" s="485"/>
      <c r="D36" s="485"/>
      <c r="E36" s="485"/>
      <c r="F36" s="485" t="s">
        <v>668</v>
      </c>
      <c r="G36" s="481">
        <v>1241.6400000000001</v>
      </c>
      <c r="H36" s="484">
        <f t="shared" ref="H36:H41" si="0">$H$15</f>
        <v>4.4999999999999998E-2</v>
      </c>
      <c r="I36" s="482">
        <f t="shared" ref="I36:I41" si="1">G36*(1+H36)</f>
        <v>1297.5137999999999</v>
      </c>
    </row>
    <row r="37" spans="1:9">
      <c r="A37" s="479"/>
      <c r="B37" s="485"/>
      <c r="C37" s="485"/>
      <c r="D37" s="485"/>
      <c r="E37" s="485"/>
      <c r="F37" s="485" t="s">
        <v>669</v>
      </c>
      <c r="G37" s="481">
        <v>8042.76</v>
      </c>
      <c r="H37" s="484">
        <f t="shared" si="0"/>
        <v>4.4999999999999998E-2</v>
      </c>
      <c r="I37" s="482">
        <f t="shared" si="1"/>
        <v>8404.6841999999997</v>
      </c>
    </row>
    <row r="38" spans="1:9">
      <c r="A38" s="479"/>
      <c r="B38" s="485"/>
      <c r="C38" s="485"/>
      <c r="D38" s="485"/>
      <c r="E38" s="485"/>
      <c r="F38" s="485" t="s">
        <v>670</v>
      </c>
      <c r="G38" s="481">
        <v>9889.44</v>
      </c>
      <c r="H38" s="484">
        <f t="shared" si="0"/>
        <v>4.4999999999999998E-2</v>
      </c>
      <c r="I38" s="482">
        <f t="shared" si="1"/>
        <v>10334.4648</v>
      </c>
    </row>
    <row r="39" spans="1:9">
      <c r="A39" s="479"/>
      <c r="B39" s="485"/>
      <c r="C39" s="485"/>
      <c r="D39" s="485"/>
      <c r="E39" s="485"/>
      <c r="F39" s="485" t="s">
        <v>671</v>
      </c>
      <c r="G39" s="481">
        <v>1046.28</v>
      </c>
      <c r="H39" s="484">
        <f t="shared" si="0"/>
        <v>4.4999999999999998E-2</v>
      </c>
      <c r="I39" s="482">
        <f t="shared" si="1"/>
        <v>1093.3625999999999</v>
      </c>
    </row>
    <row r="40" spans="1:9">
      <c r="A40" s="479"/>
      <c r="B40" s="485"/>
      <c r="C40" s="485"/>
      <c r="D40" s="485"/>
      <c r="E40" s="485"/>
      <c r="F40" s="485" t="s">
        <v>672</v>
      </c>
      <c r="G40" s="481">
        <v>31200</v>
      </c>
      <c r="H40" s="484">
        <f t="shared" si="0"/>
        <v>4.4999999999999998E-2</v>
      </c>
      <c r="I40" s="482">
        <f t="shared" si="1"/>
        <v>32603.999999999996</v>
      </c>
    </row>
    <row r="41" spans="1:9">
      <c r="A41" s="479"/>
      <c r="B41" s="485"/>
      <c r="C41" s="485"/>
      <c r="D41" s="485"/>
      <c r="E41" s="485"/>
      <c r="F41" s="485" t="s">
        <v>673</v>
      </c>
      <c r="G41" s="481">
        <v>18543.599999999999</v>
      </c>
      <c r="H41" s="484">
        <f t="shared" si="0"/>
        <v>4.4999999999999998E-2</v>
      </c>
      <c r="I41" s="482">
        <f t="shared" si="1"/>
        <v>19378.061999999998</v>
      </c>
    </row>
    <row r="42" spans="1:9">
      <c r="A42" s="479"/>
      <c r="B42" s="485"/>
      <c r="C42" s="485"/>
      <c r="D42" s="485"/>
      <c r="E42" s="485"/>
      <c r="F42" s="485"/>
      <c r="G42" s="481"/>
      <c r="H42" s="484"/>
      <c r="I42" s="482"/>
    </row>
    <row r="43" spans="1:9">
      <c r="A43" s="479"/>
      <c r="B43" s="483"/>
      <c r="C43" s="483"/>
      <c r="D43" s="483"/>
      <c r="E43" s="483" t="s">
        <v>674</v>
      </c>
      <c r="F43" s="483"/>
      <c r="G43" s="481"/>
      <c r="H43" s="484"/>
      <c r="I43" s="482"/>
    </row>
    <row r="44" spans="1:9" ht="18">
      <c r="A44" s="479"/>
      <c r="B44" s="485"/>
      <c r="C44" s="485"/>
      <c r="D44" s="485"/>
      <c r="E44" s="485"/>
      <c r="F44" s="485" t="s">
        <v>675</v>
      </c>
      <c r="G44" s="497">
        <v>41076</v>
      </c>
      <c r="H44" s="484">
        <f>H30</f>
        <v>4.4999999999999998E-2</v>
      </c>
      <c r="I44" s="498">
        <f>G44*(1+H44)</f>
        <v>42924.42</v>
      </c>
    </row>
    <row r="45" spans="1:9" ht="18">
      <c r="A45" s="479"/>
      <c r="B45" s="485"/>
      <c r="C45" s="485"/>
      <c r="D45" s="485"/>
      <c r="E45" s="490" t="s">
        <v>676</v>
      </c>
      <c r="F45" s="490"/>
      <c r="G45" s="499">
        <f>SUBTOTAL(9, (G43:G44))</f>
        <v>41076</v>
      </c>
      <c r="H45" s="484"/>
      <c r="I45" s="500">
        <f>SUBTOTAL(9, (I43:I44))</f>
        <v>42924.42</v>
      </c>
    </row>
    <row r="46" spans="1:9" ht="18">
      <c r="A46" s="479"/>
      <c r="B46" s="485"/>
      <c r="C46" s="485"/>
      <c r="D46" s="485"/>
      <c r="E46" s="490"/>
      <c r="F46" s="490"/>
      <c r="G46" s="497"/>
      <c r="H46" s="484"/>
      <c r="I46" s="498"/>
    </row>
    <row r="47" spans="1:9">
      <c r="A47" s="479"/>
      <c r="B47" s="483"/>
      <c r="C47" s="483"/>
      <c r="D47" s="483"/>
      <c r="E47" s="483" t="s">
        <v>677</v>
      </c>
      <c r="F47" s="483"/>
      <c r="G47" s="481"/>
      <c r="H47" s="484"/>
      <c r="I47" s="482"/>
    </row>
    <row r="48" spans="1:9">
      <c r="A48" s="479"/>
      <c r="B48" s="485"/>
      <c r="C48" s="485"/>
      <c r="D48" s="485"/>
      <c r="E48" s="485"/>
      <c r="F48" s="485" t="s">
        <v>678</v>
      </c>
      <c r="G48" s="481">
        <v>777.36</v>
      </c>
      <c r="H48" s="484">
        <f>$H$15</f>
        <v>4.4999999999999998E-2</v>
      </c>
      <c r="I48" s="482">
        <f>G48*(1+H48)</f>
        <v>812.34119999999996</v>
      </c>
    </row>
    <row r="49" spans="1:9" ht="18">
      <c r="A49" s="479"/>
      <c r="B49" s="485"/>
      <c r="C49" s="485"/>
      <c r="D49" s="485"/>
      <c r="E49" s="485"/>
      <c r="F49" s="485" t="s">
        <v>679</v>
      </c>
      <c r="G49" s="497">
        <v>0</v>
      </c>
      <c r="H49" s="484">
        <f>$H$15</f>
        <v>4.4999999999999998E-2</v>
      </c>
      <c r="I49" s="498">
        <f>G49*(1+H49)</f>
        <v>0</v>
      </c>
    </row>
    <row r="50" spans="1:9" ht="18">
      <c r="A50" s="479"/>
      <c r="B50" s="485"/>
      <c r="C50" s="485"/>
      <c r="D50" s="485"/>
      <c r="E50" s="490" t="s">
        <v>680</v>
      </c>
      <c r="F50" s="490"/>
      <c r="G50" s="491">
        <f>SUBTOTAL(9, (G47:G49))</f>
        <v>777.36</v>
      </c>
      <c r="H50" s="484"/>
      <c r="I50" s="492">
        <f>SUBTOTAL(9, (I47:I49))</f>
        <v>812.34119999999996</v>
      </c>
    </row>
    <row r="51" spans="1:9" ht="18">
      <c r="A51" s="479"/>
      <c r="B51" s="485"/>
      <c r="C51" s="485"/>
      <c r="D51" s="485"/>
      <c r="E51" s="490"/>
      <c r="F51" s="490"/>
      <c r="G51" s="493"/>
      <c r="H51" s="484"/>
      <c r="I51" s="494"/>
    </row>
    <row r="52" spans="1:9">
      <c r="A52" s="479"/>
      <c r="B52" s="483"/>
      <c r="C52" s="483"/>
      <c r="D52" s="483"/>
      <c r="E52" s="483" t="s">
        <v>681</v>
      </c>
      <c r="F52" s="483"/>
      <c r="G52" s="481"/>
      <c r="H52" s="484"/>
      <c r="I52" s="482"/>
    </row>
    <row r="53" spans="1:9" ht="18">
      <c r="A53" s="479"/>
      <c r="B53" s="485"/>
      <c r="C53" s="485"/>
      <c r="D53" s="485"/>
      <c r="E53" s="485"/>
      <c r="F53" s="485" t="s">
        <v>682</v>
      </c>
      <c r="G53" s="497">
        <v>12000</v>
      </c>
      <c r="H53" s="484">
        <f>$H$15</f>
        <v>4.4999999999999998E-2</v>
      </c>
      <c r="I53" s="498">
        <f>G53*(1+H53)</f>
        <v>12540</v>
      </c>
    </row>
    <row r="54" spans="1:9" ht="18">
      <c r="A54" s="479"/>
      <c r="B54" s="485"/>
      <c r="C54" s="485"/>
      <c r="D54" s="485"/>
      <c r="E54" s="490" t="s">
        <v>683</v>
      </c>
      <c r="F54" s="490"/>
      <c r="G54" s="499">
        <f>SUBTOTAL(9, (G52:G53))</f>
        <v>12000</v>
      </c>
      <c r="H54" s="484"/>
      <c r="I54" s="500">
        <f>SUBTOTAL(9, (I52:I53))</f>
        <v>12540</v>
      </c>
    </row>
    <row r="55" spans="1:9" ht="18">
      <c r="A55" s="479"/>
      <c r="B55" s="485"/>
      <c r="C55" s="485"/>
      <c r="D55" s="485"/>
      <c r="E55" s="490"/>
      <c r="F55" s="490"/>
      <c r="G55" s="497"/>
      <c r="H55" s="484"/>
      <c r="I55" s="498"/>
    </row>
    <row r="56" spans="1:9" ht="18">
      <c r="A56" s="479"/>
      <c r="B56" s="485"/>
      <c r="C56" s="485"/>
      <c r="D56" s="485"/>
      <c r="E56" s="485"/>
      <c r="F56" s="485" t="s">
        <v>684</v>
      </c>
      <c r="G56" s="497">
        <v>5670.34</v>
      </c>
      <c r="H56" s="484">
        <f>$H$15</f>
        <v>4.4999999999999998E-2</v>
      </c>
      <c r="I56" s="498">
        <f>G56*(1+H56)</f>
        <v>5925.5052999999998</v>
      </c>
    </row>
    <row r="57" spans="1:9" ht="18">
      <c r="A57" s="479"/>
      <c r="B57" s="485"/>
      <c r="C57" s="485"/>
      <c r="D57" s="490" t="s">
        <v>685</v>
      </c>
      <c r="E57" s="490"/>
      <c r="F57" s="490"/>
      <c r="G57" s="493">
        <f>G27+G29+G30+G34+G36+G37+G38+G39+G40+G41+G45+G50+G54+G56</f>
        <v>150158.25999999998</v>
      </c>
      <c r="H57" s="501">
        <f>SUBTOTAL(109,G23:G56)</f>
        <v>150158.25999999998</v>
      </c>
      <c r="I57" s="494">
        <f>I27+I29+I30+I34+I36+I37+I38+I39+I40+I41+I45+I50+I54+I56</f>
        <v>156915.38169999997</v>
      </c>
    </row>
    <row r="58" spans="1:9" ht="18">
      <c r="A58" s="479"/>
      <c r="B58" s="485"/>
      <c r="C58" s="485"/>
      <c r="D58" s="490"/>
      <c r="E58" s="490"/>
      <c r="F58" s="490"/>
      <c r="G58" s="493"/>
      <c r="H58" s="484"/>
      <c r="I58" s="494"/>
    </row>
    <row r="59" spans="1:9" ht="18">
      <c r="A59" s="479"/>
      <c r="B59" s="502" t="s">
        <v>686</v>
      </c>
      <c r="C59" s="502"/>
      <c r="D59" s="502"/>
      <c r="E59" s="502"/>
      <c r="F59" s="502"/>
      <c r="G59" s="493">
        <f>G19-G57</f>
        <v>386225.42000000004</v>
      </c>
      <c r="H59" s="484"/>
      <c r="I59" s="494">
        <f>I19-I57</f>
        <v>461690.63990000024</v>
      </c>
    </row>
    <row r="60" spans="1:9" ht="18">
      <c r="A60" s="479"/>
      <c r="B60" s="502"/>
      <c r="C60" s="502"/>
      <c r="D60" s="502"/>
      <c r="E60" s="502"/>
      <c r="F60" s="502"/>
      <c r="G60" s="493"/>
      <c r="H60" s="484"/>
      <c r="I60" s="494"/>
    </row>
    <row r="61" spans="1:9">
      <c r="A61" s="479"/>
      <c r="B61" s="480" t="s">
        <v>687</v>
      </c>
      <c r="C61" s="480"/>
      <c r="D61" s="480"/>
      <c r="E61" s="480"/>
      <c r="F61" s="480"/>
      <c r="G61" s="481"/>
      <c r="H61" s="484"/>
      <c r="I61" s="482"/>
    </row>
    <row r="62" spans="1:9">
      <c r="A62" s="479"/>
      <c r="B62" s="480"/>
      <c r="C62" s="480"/>
      <c r="D62" s="480"/>
      <c r="E62" s="480"/>
      <c r="F62" s="480"/>
      <c r="G62" s="481"/>
      <c r="H62" s="484"/>
      <c r="I62" s="482"/>
    </row>
    <row r="63" spans="1:9">
      <c r="A63" s="479"/>
      <c r="B63" s="483"/>
      <c r="C63" s="483"/>
      <c r="D63" s="483" t="s">
        <v>688</v>
      </c>
      <c r="E63" s="483"/>
      <c r="F63" s="483"/>
      <c r="G63" s="481"/>
      <c r="H63" s="484"/>
      <c r="I63" s="482"/>
    </row>
    <row r="64" spans="1:9">
      <c r="A64" s="479"/>
      <c r="B64" s="485"/>
      <c r="C64" s="485"/>
      <c r="D64" s="485"/>
      <c r="E64" s="485"/>
      <c r="F64" s="485" t="s">
        <v>689</v>
      </c>
      <c r="G64" s="481">
        <v>3000</v>
      </c>
      <c r="H64" s="484">
        <f>$G$3</f>
        <v>0.08</v>
      </c>
      <c r="I64" s="482">
        <f>G64*(1+H64)</f>
        <v>3240</v>
      </c>
    </row>
    <row r="65" spans="1:9">
      <c r="A65" s="479"/>
      <c r="B65" s="485"/>
      <c r="C65" s="485"/>
      <c r="D65" s="485"/>
      <c r="E65" s="485"/>
      <c r="F65" s="485" t="s">
        <v>690</v>
      </c>
      <c r="G65" s="481">
        <v>2314</v>
      </c>
      <c r="H65" s="484">
        <f>$G$3</f>
        <v>0.08</v>
      </c>
      <c r="I65" s="482">
        <f>G65*(1+H65)</f>
        <v>2499.1200000000003</v>
      </c>
    </row>
    <row r="66" spans="1:9" ht="18">
      <c r="A66" s="479"/>
      <c r="B66" s="485"/>
      <c r="C66" s="485"/>
      <c r="D66" s="485"/>
      <c r="E66" s="485"/>
      <c r="F66" s="485" t="s">
        <v>691</v>
      </c>
      <c r="G66" s="497">
        <v>6312</v>
      </c>
      <c r="H66" s="484">
        <f>$G$3</f>
        <v>0.08</v>
      </c>
      <c r="I66" s="498">
        <f>G66*(1+H66)</f>
        <v>6816.96</v>
      </c>
    </row>
    <row r="67" spans="1:9" ht="18">
      <c r="A67" s="479"/>
      <c r="B67" s="485"/>
      <c r="C67" s="485"/>
      <c r="D67" s="490" t="s">
        <v>692</v>
      </c>
      <c r="E67" s="490"/>
      <c r="F67" s="490"/>
      <c r="G67" s="493">
        <f>SUBTOTAL(9, (G63:G66))</f>
        <v>11626</v>
      </c>
      <c r="H67" s="484"/>
      <c r="I67" s="494">
        <f>SUBTOTAL(9, (I63:I66))</f>
        <v>12556.080000000002</v>
      </c>
    </row>
    <row r="68" spans="1:9" ht="18">
      <c r="A68" s="479"/>
      <c r="B68" s="485"/>
      <c r="C68" s="485"/>
      <c r="D68" s="490"/>
      <c r="E68" s="490"/>
      <c r="F68" s="490"/>
      <c r="G68" s="493"/>
      <c r="H68" s="484"/>
      <c r="I68" s="494"/>
    </row>
    <row r="69" spans="1:9" ht="18">
      <c r="A69" s="479"/>
      <c r="B69" s="483"/>
      <c r="C69" s="483"/>
      <c r="D69" s="483" t="s">
        <v>693</v>
      </c>
      <c r="E69" s="483"/>
      <c r="F69" s="483"/>
      <c r="G69" s="497"/>
      <c r="H69" s="484"/>
      <c r="I69" s="498"/>
    </row>
    <row r="70" spans="1:9" ht="18">
      <c r="A70" s="479"/>
      <c r="B70" s="485"/>
      <c r="C70" s="485"/>
      <c r="D70" s="485"/>
      <c r="E70" s="485"/>
      <c r="F70" s="485" t="s">
        <v>694</v>
      </c>
      <c r="G70" s="497">
        <v>2136</v>
      </c>
      <c r="H70" s="484">
        <f>$H$15</f>
        <v>4.4999999999999998E-2</v>
      </c>
      <c r="I70" s="498">
        <f>G70*(1+H70)</f>
        <v>2232.12</v>
      </c>
    </row>
    <row r="71" spans="1:9" ht="18">
      <c r="A71" s="479"/>
      <c r="B71" s="485"/>
      <c r="C71" s="485"/>
      <c r="D71" s="490" t="s">
        <v>695</v>
      </c>
      <c r="E71" s="490"/>
      <c r="F71" s="490"/>
      <c r="G71" s="497">
        <f>SUBTOTAL(9, (G69:G70))</f>
        <v>2136</v>
      </c>
      <c r="H71" s="484"/>
      <c r="I71" s="498">
        <f>SUBTOTAL(9, (I69:I70))</f>
        <v>2232.12</v>
      </c>
    </row>
    <row r="72" spans="1:9" ht="18">
      <c r="A72" s="479"/>
      <c r="B72" s="485"/>
      <c r="C72" s="485"/>
      <c r="D72" s="490"/>
      <c r="E72" s="490"/>
      <c r="F72" s="490"/>
      <c r="G72" s="497"/>
      <c r="H72" s="484"/>
      <c r="I72" s="498"/>
    </row>
    <row r="73" spans="1:9" ht="18">
      <c r="A73" s="479"/>
      <c r="B73" s="502" t="s">
        <v>696</v>
      </c>
      <c r="C73" s="502"/>
      <c r="D73" s="502"/>
      <c r="E73" s="502"/>
      <c r="F73" s="502"/>
      <c r="G73" s="493">
        <f>G67-G71</f>
        <v>9490</v>
      </c>
      <c r="H73" s="484"/>
      <c r="I73" s="494">
        <f>I67-I71</f>
        <v>10323.960000000003</v>
      </c>
    </row>
    <row r="74" spans="1:9" ht="18">
      <c r="B74" s="502"/>
      <c r="C74" s="502"/>
      <c r="D74" s="502"/>
      <c r="E74" s="502"/>
      <c r="F74" s="502"/>
      <c r="G74" s="493"/>
      <c r="H74" s="484"/>
      <c r="I74" s="494"/>
    </row>
    <row r="75" spans="1:9" ht="18">
      <c r="B75" s="503" t="s">
        <v>697</v>
      </c>
      <c r="C75" s="503"/>
      <c r="D75" s="503"/>
      <c r="E75" s="503"/>
      <c r="F75" s="503"/>
      <c r="G75" s="504">
        <f>G59+G73</f>
        <v>395715.42000000004</v>
      </c>
      <c r="H75" s="484"/>
      <c r="I75" s="505">
        <f>I59+I73</f>
        <v>472014.59990000026</v>
      </c>
    </row>
    <row r="76" spans="1:9">
      <c r="H76" s="484"/>
    </row>
    <row r="77" spans="1:9">
      <c r="H77" s="48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J122"/>
  <sheetViews>
    <sheetView showGridLines="0" topLeftCell="A88" workbookViewId="0">
      <selection activeCell="F4" sqref="F4"/>
    </sheetView>
  </sheetViews>
  <sheetFormatPr defaultRowHeight="15.75"/>
  <cols>
    <col min="1" max="1" width="13" style="142" customWidth="1"/>
    <col min="2" max="3" width="9.140625" style="142"/>
    <col min="4" max="4" width="11.5703125" style="457" bestFit="1" customWidth="1"/>
    <col min="5" max="5" width="21.5703125" style="432" customWidth="1"/>
    <col min="6" max="6" width="32.140625" style="432" customWidth="1"/>
    <col min="7" max="7" width="32.7109375" style="432" bestFit="1" customWidth="1"/>
    <col min="8" max="8" width="15.28515625" style="432" bestFit="1" customWidth="1"/>
    <col min="9" max="9" width="31.5703125" style="432" bestFit="1" customWidth="1"/>
    <col min="10" max="10" width="9.140625" style="432"/>
    <col min="11" max="16384" width="9.140625" style="142"/>
  </cols>
  <sheetData>
    <row r="1" spans="1:10" ht="23.25">
      <c r="A1" s="33" t="s">
        <v>250</v>
      </c>
      <c r="E1" s="642" t="s">
        <v>2056</v>
      </c>
      <c r="F1" s="466">
        <f>SUMIF(C6:C120,E1,D6:D120)</f>
        <v>0</v>
      </c>
    </row>
    <row r="2" spans="1:10">
      <c r="E2" s="457" t="s">
        <v>1018</v>
      </c>
      <c r="F2" s="466">
        <f>SUMIF(C6:C120,E2,D6:D120)</f>
        <v>26607.499999999996</v>
      </c>
    </row>
    <row r="3" spans="1:10">
      <c r="E3" s="457" t="s">
        <v>1019</v>
      </c>
      <c r="F3" s="466">
        <f>SUMIF(C6:C120,E3,D6:D120)</f>
        <v>25800</v>
      </c>
    </row>
    <row r="4" spans="1:10" ht="16.5" thickBot="1">
      <c r="E4" s="457"/>
      <c r="F4" s="467">
        <f>SUM(F1:F3)</f>
        <v>52407.5</v>
      </c>
    </row>
    <row r="5" spans="1:10" s="456" customFormat="1" ht="33" thickTop="1" thickBot="1">
      <c r="A5" s="255" t="s">
        <v>1016</v>
      </c>
      <c r="B5" s="255" t="s">
        <v>725</v>
      </c>
      <c r="C5" s="255" t="s">
        <v>264</v>
      </c>
      <c r="D5" s="454" t="s">
        <v>1020</v>
      </c>
      <c r="E5" s="255" t="s">
        <v>726</v>
      </c>
      <c r="F5" s="255" t="s">
        <v>182</v>
      </c>
      <c r="G5" s="255" t="s">
        <v>175</v>
      </c>
      <c r="H5" s="255" t="s">
        <v>184</v>
      </c>
      <c r="I5" s="255" t="s">
        <v>1015</v>
      </c>
      <c r="J5" s="455"/>
    </row>
    <row r="6" spans="1:10">
      <c r="A6" s="254">
        <v>40293</v>
      </c>
      <c r="B6" s="142">
        <v>3245</v>
      </c>
      <c r="C6" s="142" t="s">
        <v>1017</v>
      </c>
      <c r="D6" s="457">
        <v>3445</v>
      </c>
      <c r="E6" s="267" t="s">
        <v>727</v>
      </c>
      <c r="F6" s="267" t="s">
        <v>728</v>
      </c>
      <c r="G6" s="267" t="s">
        <v>729</v>
      </c>
      <c r="H6" s="267" t="s">
        <v>730</v>
      </c>
      <c r="I6" s="267"/>
    </row>
    <row r="7" spans="1:10">
      <c r="A7" s="254">
        <v>40294</v>
      </c>
      <c r="B7" s="142">
        <v>3246</v>
      </c>
      <c r="C7" s="142" t="s">
        <v>1018</v>
      </c>
      <c r="D7" s="457">
        <v>545</v>
      </c>
      <c r="E7" s="267" t="s">
        <v>731</v>
      </c>
      <c r="F7" s="267" t="s">
        <v>732</v>
      </c>
      <c r="G7" s="267" t="s">
        <v>733</v>
      </c>
      <c r="H7" s="267" t="s">
        <v>734</v>
      </c>
      <c r="I7" s="267" t="s">
        <v>735</v>
      </c>
    </row>
    <row r="8" spans="1:10">
      <c r="A8" s="254">
        <v>40295</v>
      </c>
      <c r="B8" s="142">
        <v>3247</v>
      </c>
      <c r="C8" s="142" t="s">
        <v>1019</v>
      </c>
      <c r="D8" s="457">
        <v>600</v>
      </c>
      <c r="E8" s="267" t="s">
        <v>736</v>
      </c>
      <c r="F8" s="267"/>
      <c r="G8" s="267"/>
      <c r="H8" s="267"/>
      <c r="I8" s="267"/>
    </row>
    <row r="9" spans="1:10">
      <c r="A9" s="254">
        <v>40296</v>
      </c>
      <c r="B9" s="142">
        <v>3248</v>
      </c>
      <c r="C9" s="142" t="s">
        <v>1017</v>
      </c>
      <c r="D9" s="457">
        <v>7445</v>
      </c>
      <c r="E9" s="267" t="s">
        <v>737</v>
      </c>
      <c r="F9" s="267"/>
      <c r="G9" s="267"/>
      <c r="H9" s="267"/>
      <c r="I9" s="267"/>
    </row>
    <row r="10" spans="1:10">
      <c r="A10" s="254">
        <v>40297</v>
      </c>
      <c r="B10" s="142">
        <v>3249</v>
      </c>
      <c r="C10" s="142" t="s">
        <v>1017</v>
      </c>
      <c r="D10" s="457">
        <v>2546</v>
      </c>
      <c r="E10" s="267" t="s">
        <v>738</v>
      </c>
      <c r="F10" s="267"/>
      <c r="G10" s="267"/>
      <c r="H10" s="267"/>
      <c r="I10" s="267"/>
    </row>
    <row r="11" spans="1:10">
      <c r="A11" s="254">
        <v>40298</v>
      </c>
      <c r="B11" s="142">
        <v>3250</v>
      </c>
      <c r="C11" s="142" t="s">
        <v>1018</v>
      </c>
      <c r="D11" s="457">
        <v>354</v>
      </c>
      <c r="E11" s="267" t="s">
        <v>739</v>
      </c>
      <c r="F11" s="267"/>
      <c r="G11" s="267"/>
      <c r="H11" s="267"/>
      <c r="I11" s="267"/>
    </row>
    <row r="12" spans="1:10">
      <c r="A12" s="254">
        <v>40301</v>
      </c>
      <c r="B12" s="142">
        <v>3251</v>
      </c>
      <c r="C12" s="142" t="s">
        <v>1019</v>
      </c>
      <c r="D12" s="457">
        <v>1200</v>
      </c>
      <c r="E12" s="267" t="s">
        <v>740</v>
      </c>
      <c r="F12" s="267"/>
      <c r="G12" s="267"/>
      <c r="H12" s="267"/>
      <c r="I12" s="267"/>
    </row>
    <row r="13" spans="1:10">
      <c r="A13" s="254">
        <v>40302</v>
      </c>
      <c r="B13" s="142">
        <v>3252</v>
      </c>
      <c r="C13" s="142" t="s">
        <v>1017</v>
      </c>
      <c r="D13" s="457">
        <v>665</v>
      </c>
      <c r="E13" s="267" t="s">
        <v>741</v>
      </c>
      <c r="F13" s="267" t="s">
        <v>742</v>
      </c>
      <c r="G13" s="267" t="s">
        <v>743</v>
      </c>
      <c r="H13" s="267" t="s">
        <v>744</v>
      </c>
      <c r="I13" s="267" t="s">
        <v>745</v>
      </c>
    </row>
    <row r="14" spans="1:10">
      <c r="A14" s="254">
        <v>40305</v>
      </c>
      <c r="B14" s="142">
        <v>3253</v>
      </c>
      <c r="C14" s="142" t="s">
        <v>1017</v>
      </c>
      <c r="D14" s="457">
        <v>3466</v>
      </c>
      <c r="E14" s="267" t="s">
        <v>746</v>
      </c>
      <c r="F14" s="267" t="s">
        <v>747</v>
      </c>
      <c r="G14" s="268" t="s">
        <v>748</v>
      </c>
      <c r="H14" s="267" t="s">
        <v>749</v>
      </c>
      <c r="I14" s="267" t="s">
        <v>750</v>
      </c>
    </row>
    <row r="15" spans="1:10">
      <c r="A15" s="254">
        <v>40308</v>
      </c>
      <c r="B15" s="142">
        <v>3254</v>
      </c>
      <c r="C15" s="142" t="s">
        <v>1018</v>
      </c>
      <c r="D15" s="457">
        <v>546</v>
      </c>
      <c r="E15" s="267" t="s">
        <v>751</v>
      </c>
      <c r="F15" s="267"/>
      <c r="G15" s="267"/>
      <c r="H15" s="267"/>
      <c r="I15" s="267"/>
    </row>
    <row r="16" spans="1:10">
      <c r="A16" s="254">
        <v>40309</v>
      </c>
      <c r="B16" s="142">
        <v>3255</v>
      </c>
      <c r="C16" s="142" t="s">
        <v>1019</v>
      </c>
      <c r="D16" s="457">
        <v>600</v>
      </c>
      <c r="E16" s="267" t="s">
        <v>752</v>
      </c>
      <c r="F16" s="267" t="s">
        <v>753</v>
      </c>
      <c r="G16" s="267" t="s">
        <v>754</v>
      </c>
      <c r="H16" s="267" t="s">
        <v>755</v>
      </c>
      <c r="I16" s="267"/>
    </row>
    <row r="17" spans="1:9">
      <c r="A17" s="254">
        <v>40310</v>
      </c>
      <c r="B17" s="142">
        <v>3256</v>
      </c>
      <c r="C17" s="142" t="s">
        <v>1017</v>
      </c>
      <c r="D17" s="457">
        <v>7764</v>
      </c>
      <c r="E17" s="267" t="s">
        <v>756</v>
      </c>
      <c r="F17" s="267"/>
      <c r="G17" s="267"/>
      <c r="H17" s="267"/>
      <c r="I17" s="267"/>
    </row>
    <row r="18" spans="1:9">
      <c r="A18" s="254">
        <v>40312</v>
      </c>
      <c r="B18" s="142">
        <v>3257</v>
      </c>
      <c r="C18" s="142" t="s">
        <v>1017</v>
      </c>
      <c r="D18" s="457">
        <v>434</v>
      </c>
      <c r="E18" s="268" t="s">
        <v>757</v>
      </c>
      <c r="F18" s="267"/>
      <c r="G18" s="267" t="s">
        <v>758</v>
      </c>
      <c r="H18" s="267" t="s">
        <v>759</v>
      </c>
      <c r="I18" s="267"/>
    </row>
    <row r="19" spans="1:9">
      <c r="A19" s="254">
        <v>40315</v>
      </c>
      <c r="B19" s="142">
        <v>3258</v>
      </c>
      <c r="C19" s="142" t="s">
        <v>1018</v>
      </c>
      <c r="D19" s="457">
        <v>866</v>
      </c>
      <c r="E19" s="267" t="s">
        <v>760</v>
      </c>
      <c r="F19" s="267" t="s">
        <v>761</v>
      </c>
      <c r="G19" s="267" t="s">
        <v>754</v>
      </c>
      <c r="H19" s="267" t="s">
        <v>762</v>
      </c>
      <c r="I19" s="267"/>
    </row>
    <row r="20" spans="1:9">
      <c r="A20" s="254">
        <v>40316</v>
      </c>
      <c r="B20" s="142">
        <v>3259</v>
      </c>
      <c r="C20" s="142" t="s">
        <v>1019</v>
      </c>
      <c r="D20" s="457">
        <v>600</v>
      </c>
      <c r="E20" s="267" t="s">
        <v>763</v>
      </c>
      <c r="F20" s="267" t="s">
        <v>764</v>
      </c>
      <c r="G20" s="267" t="s">
        <v>765</v>
      </c>
      <c r="H20" s="267" t="s">
        <v>766</v>
      </c>
      <c r="I20" s="267" t="s">
        <v>767</v>
      </c>
    </row>
    <row r="21" spans="1:9">
      <c r="A21" s="254">
        <v>40318</v>
      </c>
      <c r="B21" s="142">
        <v>3260</v>
      </c>
      <c r="C21" s="142" t="s">
        <v>1017</v>
      </c>
      <c r="D21" s="457">
        <v>5747</v>
      </c>
      <c r="E21" s="267" t="s">
        <v>768</v>
      </c>
      <c r="F21" s="267" t="s">
        <v>769</v>
      </c>
      <c r="G21" s="267" t="s">
        <v>770</v>
      </c>
      <c r="H21" s="267" t="s">
        <v>771</v>
      </c>
      <c r="I21" s="267"/>
    </row>
    <row r="22" spans="1:9">
      <c r="A22" s="254">
        <v>40321</v>
      </c>
      <c r="B22" s="142">
        <v>3261</v>
      </c>
      <c r="C22" s="142" t="s">
        <v>1017</v>
      </c>
      <c r="D22" s="457">
        <v>577</v>
      </c>
      <c r="E22" s="267" t="s">
        <v>772</v>
      </c>
      <c r="F22" s="267"/>
      <c r="G22" s="267"/>
      <c r="H22" s="267"/>
      <c r="I22" s="267"/>
    </row>
    <row r="23" spans="1:9">
      <c r="A23" s="254">
        <v>40322</v>
      </c>
      <c r="B23" s="142">
        <v>3262</v>
      </c>
      <c r="C23" s="142" t="s">
        <v>1018</v>
      </c>
      <c r="D23" s="457">
        <v>876</v>
      </c>
      <c r="E23" s="267" t="s">
        <v>773</v>
      </c>
      <c r="F23" s="267"/>
      <c r="G23" s="267"/>
      <c r="H23" s="267"/>
      <c r="I23" s="267"/>
    </row>
    <row r="24" spans="1:9">
      <c r="A24" s="254">
        <v>40324</v>
      </c>
      <c r="B24" s="142">
        <v>3263</v>
      </c>
      <c r="C24" s="142" t="s">
        <v>1019</v>
      </c>
      <c r="D24" s="457">
        <v>1200</v>
      </c>
      <c r="E24" s="267" t="s">
        <v>774</v>
      </c>
      <c r="F24" s="267" t="s">
        <v>775</v>
      </c>
      <c r="G24" s="267" t="s">
        <v>776</v>
      </c>
      <c r="H24" s="267" t="s">
        <v>777</v>
      </c>
      <c r="I24" s="267"/>
    </row>
    <row r="25" spans="1:9">
      <c r="A25" s="254">
        <v>40327</v>
      </c>
      <c r="B25" s="142">
        <v>3264</v>
      </c>
      <c r="C25" s="142" t="s">
        <v>1017</v>
      </c>
      <c r="D25" s="457">
        <v>8658</v>
      </c>
      <c r="E25" s="267" t="s">
        <v>778</v>
      </c>
      <c r="F25" s="267" t="s">
        <v>779</v>
      </c>
      <c r="G25" s="267" t="s">
        <v>780</v>
      </c>
      <c r="H25" s="268" t="s">
        <v>781</v>
      </c>
      <c r="I25" s="267" t="s">
        <v>782</v>
      </c>
    </row>
    <row r="26" spans="1:9">
      <c r="A26" s="254">
        <v>40328</v>
      </c>
      <c r="B26" s="142">
        <v>3265</v>
      </c>
      <c r="C26" s="142" t="s">
        <v>1017</v>
      </c>
      <c r="D26" s="457">
        <v>4753</v>
      </c>
      <c r="E26" s="267" t="s">
        <v>783</v>
      </c>
      <c r="F26" s="267"/>
      <c r="G26" s="267"/>
      <c r="H26" s="267"/>
      <c r="I26" s="267"/>
    </row>
    <row r="27" spans="1:9">
      <c r="A27" s="254">
        <v>40329</v>
      </c>
      <c r="B27" s="142">
        <v>3266</v>
      </c>
      <c r="C27" s="142" t="s">
        <v>1018</v>
      </c>
      <c r="D27" s="457">
        <v>975</v>
      </c>
      <c r="E27" s="267" t="s">
        <v>784</v>
      </c>
      <c r="F27" s="267"/>
      <c r="G27" s="267"/>
      <c r="H27" s="267"/>
      <c r="I27" s="267"/>
    </row>
    <row r="28" spans="1:9">
      <c r="A28" s="254">
        <v>40331</v>
      </c>
      <c r="B28" s="142">
        <v>3267</v>
      </c>
      <c r="C28" s="142" t="s">
        <v>1019</v>
      </c>
      <c r="D28" s="457">
        <v>1800</v>
      </c>
      <c r="E28" s="267" t="s">
        <v>785</v>
      </c>
      <c r="F28" s="267" t="s">
        <v>786</v>
      </c>
      <c r="G28" s="267" t="s">
        <v>787</v>
      </c>
      <c r="H28" s="267" t="s">
        <v>788</v>
      </c>
      <c r="I28" s="267" t="s">
        <v>789</v>
      </c>
    </row>
    <row r="29" spans="1:9">
      <c r="A29" s="254">
        <v>40333</v>
      </c>
      <c r="B29" s="142">
        <v>3268</v>
      </c>
      <c r="C29" s="142" t="s">
        <v>1017</v>
      </c>
      <c r="D29" s="457">
        <v>754</v>
      </c>
      <c r="E29" s="267" t="s">
        <v>790</v>
      </c>
      <c r="F29" s="267"/>
      <c r="G29" s="267"/>
      <c r="H29" s="267"/>
      <c r="I29" s="267"/>
    </row>
    <row r="30" spans="1:9">
      <c r="A30" s="254">
        <v>40334</v>
      </c>
      <c r="B30" s="142">
        <v>3269</v>
      </c>
      <c r="C30" s="142" t="s">
        <v>1017</v>
      </c>
      <c r="D30" s="457">
        <v>3678</v>
      </c>
      <c r="E30" s="267" t="s">
        <v>791</v>
      </c>
      <c r="F30" s="267" t="s">
        <v>792</v>
      </c>
      <c r="G30" s="267" t="s">
        <v>793</v>
      </c>
      <c r="H30" s="267" t="s">
        <v>794</v>
      </c>
      <c r="I30" s="267"/>
    </row>
    <row r="31" spans="1:9">
      <c r="A31" s="254">
        <v>40335</v>
      </c>
      <c r="B31" s="142">
        <v>3270</v>
      </c>
      <c r="C31" s="142" t="s">
        <v>1018</v>
      </c>
      <c r="D31" s="457">
        <v>54</v>
      </c>
      <c r="E31" s="267" t="s">
        <v>795</v>
      </c>
      <c r="F31" s="267"/>
      <c r="G31" s="267"/>
      <c r="H31" s="267"/>
      <c r="I31" s="267"/>
    </row>
    <row r="32" spans="1:9">
      <c r="A32" s="254">
        <v>40336</v>
      </c>
      <c r="B32" s="142">
        <v>3271</v>
      </c>
      <c r="C32" s="142" t="s">
        <v>1019</v>
      </c>
      <c r="D32" s="457">
        <v>600</v>
      </c>
      <c r="E32" s="267" t="s">
        <v>796</v>
      </c>
      <c r="F32" s="267"/>
      <c r="G32" s="267"/>
      <c r="H32" s="267"/>
      <c r="I32" s="267"/>
    </row>
    <row r="33" spans="1:9">
      <c r="A33" s="254">
        <v>40338</v>
      </c>
      <c r="B33" s="142">
        <v>3272</v>
      </c>
      <c r="C33" s="142" t="s">
        <v>1017</v>
      </c>
      <c r="D33" s="457">
        <v>754</v>
      </c>
      <c r="E33" s="267" t="s">
        <v>797</v>
      </c>
      <c r="F33" s="267"/>
      <c r="G33" s="267"/>
      <c r="H33" s="267"/>
      <c r="I33" s="267"/>
    </row>
    <row r="34" spans="1:9">
      <c r="A34" s="254">
        <v>40339</v>
      </c>
      <c r="B34" s="142">
        <v>3273</v>
      </c>
      <c r="C34" s="142" t="s">
        <v>1017</v>
      </c>
      <c r="D34" s="457">
        <v>878</v>
      </c>
      <c r="E34" s="267" t="s">
        <v>798</v>
      </c>
      <c r="F34" s="267" t="s">
        <v>799</v>
      </c>
      <c r="G34" s="267" t="s">
        <v>729</v>
      </c>
      <c r="H34" s="267" t="s">
        <v>800</v>
      </c>
      <c r="I34" s="267" t="s">
        <v>801</v>
      </c>
    </row>
    <row r="35" spans="1:9">
      <c r="A35" s="254">
        <v>40340</v>
      </c>
      <c r="B35" s="142">
        <v>3274</v>
      </c>
      <c r="C35" s="142" t="s">
        <v>1018</v>
      </c>
      <c r="D35" s="457">
        <v>758</v>
      </c>
      <c r="E35" s="267" t="s">
        <v>802</v>
      </c>
      <c r="F35" s="267" t="s">
        <v>803</v>
      </c>
      <c r="G35" s="267" t="s">
        <v>770</v>
      </c>
      <c r="H35" s="267"/>
      <c r="I35" s="267"/>
    </row>
    <row r="36" spans="1:9">
      <c r="A36" s="254">
        <v>40343</v>
      </c>
      <c r="B36" s="142">
        <v>3275</v>
      </c>
      <c r="C36" s="142" t="s">
        <v>1019</v>
      </c>
      <c r="D36" s="457">
        <v>600</v>
      </c>
      <c r="E36" s="267" t="s">
        <v>804</v>
      </c>
      <c r="F36" s="267"/>
      <c r="G36" s="267"/>
      <c r="H36" s="267"/>
      <c r="I36" s="267"/>
    </row>
    <row r="37" spans="1:9">
      <c r="A37" s="254">
        <v>40345</v>
      </c>
      <c r="B37" s="142">
        <v>3276</v>
      </c>
      <c r="C37" s="142" t="s">
        <v>1017</v>
      </c>
      <c r="D37" s="457">
        <v>9885</v>
      </c>
      <c r="E37" s="267" t="s">
        <v>805</v>
      </c>
      <c r="F37" s="267"/>
      <c r="G37" s="267"/>
      <c r="H37" s="267"/>
      <c r="I37" s="267"/>
    </row>
    <row r="38" spans="1:9">
      <c r="A38" s="254">
        <v>40347</v>
      </c>
      <c r="B38" s="142">
        <v>3277</v>
      </c>
      <c r="C38" s="142" t="s">
        <v>1017</v>
      </c>
      <c r="D38" s="457">
        <v>6745</v>
      </c>
      <c r="E38" s="267" t="s">
        <v>806</v>
      </c>
      <c r="F38" s="267"/>
      <c r="G38" s="267"/>
      <c r="H38" s="267"/>
      <c r="I38" s="267"/>
    </row>
    <row r="39" spans="1:9">
      <c r="A39" s="254">
        <v>40349</v>
      </c>
      <c r="B39" s="142">
        <v>3278</v>
      </c>
      <c r="C39" s="142" t="s">
        <v>1018</v>
      </c>
      <c r="D39" s="457">
        <v>864</v>
      </c>
      <c r="E39" s="268" t="s">
        <v>807</v>
      </c>
      <c r="F39" s="267"/>
      <c r="G39" s="267"/>
      <c r="H39" s="267"/>
      <c r="I39" s="267"/>
    </row>
    <row r="40" spans="1:9">
      <c r="A40" s="254">
        <v>40352</v>
      </c>
      <c r="B40" s="142">
        <v>3279</v>
      </c>
      <c r="C40" s="142" t="s">
        <v>1019</v>
      </c>
      <c r="D40" s="457">
        <v>600</v>
      </c>
      <c r="E40" s="268" t="s">
        <v>808</v>
      </c>
      <c r="F40" s="267"/>
      <c r="G40" s="267"/>
      <c r="H40" s="267"/>
      <c r="I40" s="267"/>
    </row>
    <row r="41" spans="1:9">
      <c r="A41" s="254">
        <v>40353</v>
      </c>
      <c r="B41" s="142">
        <v>3280</v>
      </c>
      <c r="C41" s="142" t="s">
        <v>1017</v>
      </c>
      <c r="D41" s="457">
        <v>5792.6944444444398</v>
      </c>
      <c r="E41" s="267" t="s">
        <v>809</v>
      </c>
      <c r="F41" s="267"/>
      <c r="G41" s="267"/>
      <c r="H41" s="267"/>
      <c r="I41" s="267"/>
    </row>
    <row r="42" spans="1:9">
      <c r="A42" s="254">
        <v>40354</v>
      </c>
      <c r="B42" s="142">
        <v>3281</v>
      </c>
      <c r="C42" s="142" t="s">
        <v>1017</v>
      </c>
      <c r="D42" s="457">
        <v>6136.0777777777703</v>
      </c>
      <c r="E42" s="267" t="s">
        <v>810</v>
      </c>
      <c r="F42" s="267" t="s">
        <v>811</v>
      </c>
      <c r="G42" s="268" t="s">
        <v>812</v>
      </c>
      <c r="H42" s="267"/>
      <c r="I42" s="267"/>
    </row>
    <row r="43" spans="1:9">
      <c r="A43" s="254">
        <v>40356</v>
      </c>
      <c r="B43" s="142">
        <v>3282</v>
      </c>
      <c r="C43" s="142" t="s">
        <v>1018</v>
      </c>
      <c r="D43" s="457">
        <v>783.08333333333303</v>
      </c>
      <c r="E43" s="267" t="s">
        <v>813</v>
      </c>
      <c r="F43" s="267" t="s">
        <v>814</v>
      </c>
      <c r="G43" s="267" t="s">
        <v>815</v>
      </c>
      <c r="H43" s="267" t="s">
        <v>816</v>
      </c>
      <c r="I43" s="267"/>
    </row>
    <row r="44" spans="1:9">
      <c r="A44" s="254">
        <v>40359</v>
      </c>
      <c r="B44" s="142">
        <v>3283</v>
      </c>
      <c r="C44" s="142" t="s">
        <v>1019</v>
      </c>
      <c r="D44" s="457">
        <v>1200</v>
      </c>
      <c r="E44" s="267" t="s">
        <v>817</v>
      </c>
      <c r="F44" s="267" t="s">
        <v>818</v>
      </c>
      <c r="G44" s="267" t="s">
        <v>815</v>
      </c>
      <c r="H44" s="267" t="s">
        <v>819</v>
      </c>
      <c r="I44" s="267"/>
    </row>
    <row r="45" spans="1:9">
      <c r="A45" s="254">
        <v>40362</v>
      </c>
      <c r="B45" s="142">
        <v>3284</v>
      </c>
      <c r="C45" s="142" t="s">
        <v>1017</v>
      </c>
      <c r="D45" s="457">
        <v>6479.4611111111099</v>
      </c>
      <c r="E45" s="267" t="s">
        <v>820</v>
      </c>
      <c r="F45" s="267"/>
      <c r="G45" s="267"/>
      <c r="H45" s="267"/>
      <c r="I45" s="267"/>
    </row>
    <row r="46" spans="1:9">
      <c r="A46" s="254">
        <v>40364</v>
      </c>
      <c r="B46" s="142">
        <v>3285</v>
      </c>
      <c r="C46" s="142" t="s">
        <v>1017</v>
      </c>
      <c r="D46" s="457">
        <v>6822.8444444444403</v>
      </c>
      <c r="E46" s="267" t="s">
        <v>821</v>
      </c>
      <c r="F46" s="267"/>
      <c r="G46" s="267"/>
      <c r="H46" s="267"/>
      <c r="I46" s="267"/>
    </row>
    <row r="47" spans="1:9">
      <c r="A47" s="254">
        <v>40366</v>
      </c>
      <c r="B47" s="142">
        <v>3286</v>
      </c>
      <c r="C47" s="142" t="s">
        <v>1018</v>
      </c>
      <c r="D47" s="457">
        <v>809.96666666666601</v>
      </c>
      <c r="E47" s="267" t="s">
        <v>822</v>
      </c>
      <c r="F47" s="267"/>
      <c r="G47" s="267"/>
      <c r="H47" s="267"/>
      <c r="I47" s="267"/>
    </row>
    <row r="48" spans="1:9">
      <c r="A48" s="254">
        <v>40368</v>
      </c>
      <c r="B48" s="142">
        <v>3287</v>
      </c>
      <c r="C48" s="142" t="s">
        <v>1019</v>
      </c>
      <c r="D48" s="457">
        <v>600</v>
      </c>
      <c r="E48" s="267" t="s">
        <v>823</v>
      </c>
      <c r="F48" s="267" t="s">
        <v>824</v>
      </c>
      <c r="G48" s="267" t="s">
        <v>815</v>
      </c>
      <c r="H48" s="267" t="s">
        <v>825</v>
      </c>
      <c r="I48" s="267"/>
    </row>
    <row r="49" spans="1:9">
      <c r="A49" s="254">
        <v>40371</v>
      </c>
      <c r="B49" s="142">
        <v>3288</v>
      </c>
      <c r="C49" s="142" t="s">
        <v>1017</v>
      </c>
      <c r="D49" s="457">
        <v>7166.2277777777699</v>
      </c>
      <c r="E49" s="267" t="s">
        <v>826</v>
      </c>
      <c r="F49" s="267"/>
      <c r="G49" s="267"/>
      <c r="H49" s="267"/>
      <c r="I49" s="267"/>
    </row>
    <row r="50" spans="1:9">
      <c r="A50" s="254">
        <v>40374</v>
      </c>
      <c r="B50" s="142">
        <v>3289</v>
      </c>
      <c r="C50" s="142" t="s">
        <v>1017</v>
      </c>
      <c r="D50" s="457">
        <v>7509.6111111111104</v>
      </c>
      <c r="E50" s="267" t="s">
        <v>827</v>
      </c>
      <c r="F50" s="267"/>
      <c r="G50" s="267"/>
      <c r="H50" s="267"/>
      <c r="I50" s="267"/>
    </row>
    <row r="51" spans="1:9">
      <c r="A51" s="254">
        <v>40377</v>
      </c>
      <c r="B51" s="142">
        <v>3290</v>
      </c>
      <c r="C51" s="142" t="s">
        <v>1018</v>
      </c>
      <c r="D51" s="457">
        <v>836.85</v>
      </c>
      <c r="E51" s="267" t="s">
        <v>828</v>
      </c>
      <c r="F51" s="267" t="s">
        <v>829</v>
      </c>
      <c r="G51" s="267" t="s">
        <v>830</v>
      </c>
      <c r="H51" s="267" t="s">
        <v>831</v>
      </c>
      <c r="I51" s="267" t="s">
        <v>832</v>
      </c>
    </row>
    <row r="52" spans="1:9">
      <c r="A52" s="254">
        <v>40379</v>
      </c>
      <c r="B52" s="142">
        <v>3291</v>
      </c>
      <c r="C52" s="142" t="s">
        <v>1019</v>
      </c>
      <c r="D52" s="457">
        <v>600</v>
      </c>
      <c r="E52" s="267" t="s">
        <v>833</v>
      </c>
      <c r="F52" s="267" t="s">
        <v>834</v>
      </c>
      <c r="G52" s="267" t="s">
        <v>835</v>
      </c>
      <c r="H52" s="267"/>
      <c r="I52" s="267"/>
    </row>
    <row r="53" spans="1:9">
      <c r="A53" s="254">
        <v>40380</v>
      </c>
      <c r="B53" s="142">
        <v>3292</v>
      </c>
      <c r="C53" s="142" t="s">
        <v>1017</v>
      </c>
      <c r="D53" s="457">
        <v>7852.99444444444</v>
      </c>
      <c r="E53" s="267" t="s">
        <v>836</v>
      </c>
      <c r="F53" s="267" t="s">
        <v>837</v>
      </c>
      <c r="G53" s="268" t="s">
        <v>838</v>
      </c>
      <c r="H53" s="267"/>
      <c r="I53" s="267"/>
    </row>
    <row r="54" spans="1:9">
      <c r="A54" s="254">
        <v>40381</v>
      </c>
      <c r="B54" s="142">
        <v>3293</v>
      </c>
      <c r="C54" s="142" t="s">
        <v>1017</v>
      </c>
      <c r="D54" s="457">
        <v>8196.3777777777705</v>
      </c>
      <c r="E54" s="267" t="s">
        <v>839</v>
      </c>
      <c r="F54" s="267"/>
      <c r="G54" s="267"/>
      <c r="H54" s="267"/>
      <c r="I54" s="267"/>
    </row>
    <row r="55" spans="1:9">
      <c r="A55" s="254">
        <v>40383</v>
      </c>
      <c r="B55" s="142">
        <v>3294</v>
      </c>
      <c r="C55" s="142" t="s">
        <v>1018</v>
      </c>
      <c r="D55" s="457">
        <v>863.73333333333301</v>
      </c>
      <c r="E55" s="267" t="s">
        <v>840</v>
      </c>
      <c r="F55" s="267"/>
      <c r="G55" s="267"/>
      <c r="H55" s="267"/>
      <c r="I55" s="267"/>
    </row>
    <row r="56" spans="1:9">
      <c r="A56" s="254">
        <v>40385</v>
      </c>
      <c r="B56" s="142">
        <v>3295</v>
      </c>
      <c r="C56" s="142" t="s">
        <v>1019</v>
      </c>
      <c r="D56" s="457">
        <v>1200</v>
      </c>
      <c r="E56" s="267" t="s">
        <v>841</v>
      </c>
      <c r="F56" s="267"/>
      <c r="G56" s="267"/>
      <c r="H56" s="267"/>
      <c r="I56" s="267"/>
    </row>
    <row r="57" spans="1:9">
      <c r="A57" s="254">
        <v>40386</v>
      </c>
      <c r="B57" s="142">
        <v>3296</v>
      </c>
      <c r="C57" s="142" t="s">
        <v>1017</v>
      </c>
      <c r="D57" s="457">
        <v>8539.7611111111091</v>
      </c>
      <c r="E57" s="267" t="s">
        <v>842</v>
      </c>
      <c r="F57" s="267"/>
      <c r="G57" s="267"/>
      <c r="H57" s="267"/>
      <c r="I57" s="267"/>
    </row>
    <row r="58" spans="1:9">
      <c r="A58" s="254">
        <v>40389</v>
      </c>
      <c r="B58" s="142">
        <v>3297</v>
      </c>
      <c r="C58" s="142" t="s">
        <v>1017</v>
      </c>
      <c r="D58" s="457">
        <v>8883.1444444444405</v>
      </c>
      <c r="E58" s="267" t="s">
        <v>843</v>
      </c>
      <c r="F58" s="267"/>
      <c r="G58" s="267"/>
      <c r="H58" s="267"/>
      <c r="I58" s="267"/>
    </row>
    <row r="59" spans="1:9">
      <c r="A59" s="254">
        <v>40390</v>
      </c>
      <c r="B59" s="142">
        <v>3298</v>
      </c>
      <c r="C59" s="142" t="s">
        <v>1018</v>
      </c>
      <c r="D59" s="457">
        <v>890.61666666666599</v>
      </c>
      <c r="E59" s="267" t="s">
        <v>844</v>
      </c>
      <c r="F59" s="267" t="s">
        <v>845</v>
      </c>
      <c r="G59" s="268" t="s">
        <v>846</v>
      </c>
      <c r="H59" s="267"/>
      <c r="I59" s="267"/>
    </row>
    <row r="60" spans="1:9">
      <c r="A60" s="254">
        <v>40393</v>
      </c>
      <c r="B60" s="142">
        <v>3299</v>
      </c>
      <c r="C60" s="142" t="s">
        <v>1019</v>
      </c>
      <c r="D60" s="457">
        <v>1800</v>
      </c>
      <c r="E60" s="267" t="s">
        <v>847</v>
      </c>
      <c r="F60" s="267"/>
      <c r="G60" s="267"/>
      <c r="H60" s="267"/>
      <c r="I60" s="267"/>
    </row>
    <row r="61" spans="1:9">
      <c r="A61" s="254">
        <v>40396</v>
      </c>
      <c r="B61" s="142">
        <v>3300</v>
      </c>
      <c r="C61" s="142" t="s">
        <v>1017</v>
      </c>
      <c r="D61" s="457">
        <v>9226.5277777777701</v>
      </c>
      <c r="E61" s="267" t="s">
        <v>848</v>
      </c>
      <c r="F61" s="267" t="s">
        <v>849</v>
      </c>
      <c r="G61" s="267" t="s">
        <v>850</v>
      </c>
      <c r="H61" s="267" t="s">
        <v>851</v>
      </c>
      <c r="I61" s="267"/>
    </row>
    <row r="62" spans="1:9">
      <c r="A62" s="254">
        <v>40397</v>
      </c>
      <c r="B62" s="142">
        <v>3301</v>
      </c>
      <c r="C62" s="142" t="s">
        <v>1017</v>
      </c>
      <c r="D62" s="457">
        <v>9569.9111111111106</v>
      </c>
      <c r="E62" s="267" t="s">
        <v>852</v>
      </c>
      <c r="F62" s="267" t="s">
        <v>853</v>
      </c>
      <c r="G62" s="268" t="s">
        <v>854</v>
      </c>
      <c r="H62" s="268" t="s">
        <v>855</v>
      </c>
      <c r="I62" s="267" t="s">
        <v>856</v>
      </c>
    </row>
    <row r="63" spans="1:9">
      <c r="A63" s="254">
        <v>40400</v>
      </c>
      <c r="B63" s="142">
        <v>3302</v>
      </c>
      <c r="C63" s="142" t="s">
        <v>1018</v>
      </c>
      <c r="D63" s="457">
        <v>917.5</v>
      </c>
      <c r="E63" s="267" t="s">
        <v>857</v>
      </c>
      <c r="F63" s="267"/>
      <c r="G63" s="267"/>
      <c r="H63" s="267"/>
      <c r="I63" s="267"/>
    </row>
    <row r="64" spans="1:9">
      <c r="A64" s="254">
        <v>40401</v>
      </c>
      <c r="B64" s="142">
        <v>3303</v>
      </c>
      <c r="C64" s="142" t="s">
        <v>1019</v>
      </c>
      <c r="D64" s="457">
        <v>600</v>
      </c>
      <c r="E64" s="267" t="s">
        <v>858</v>
      </c>
      <c r="F64" s="267"/>
      <c r="G64" s="267"/>
      <c r="H64" s="267"/>
      <c r="I64" s="267"/>
    </row>
    <row r="65" spans="1:9">
      <c r="A65" s="254">
        <v>40403</v>
      </c>
      <c r="B65" s="142">
        <v>3304</v>
      </c>
      <c r="C65" s="142" t="s">
        <v>1017</v>
      </c>
      <c r="D65" s="457">
        <v>9913.2944444444402</v>
      </c>
      <c r="E65" s="267" t="s">
        <v>859</v>
      </c>
      <c r="F65" s="267" t="s">
        <v>860</v>
      </c>
      <c r="G65" s="267" t="s">
        <v>861</v>
      </c>
      <c r="H65" s="267"/>
      <c r="I65" s="267"/>
    </row>
    <row r="66" spans="1:9">
      <c r="A66" s="254">
        <v>40405</v>
      </c>
      <c r="B66" s="142">
        <v>3305</v>
      </c>
      <c r="C66" s="142" t="s">
        <v>1017</v>
      </c>
      <c r="D66" s="457">
        <v>10256.677777777801</v>
      </c>
      <c r="E66" s="267" t="s">
        <v>862</v>
      </c>
      <c r="F66" s="267" t="s">
        <v>863</v>
      </c>
      <c r="G66" s="267" t="s">
        <v>754</v>
      </c>
      <c r="H66" s="267"/>
      <c r="I66" s="267"/>
    </row>
    <row r="67" spans="1:9">
      <c r="A67" s="254">
        <v>40408</v>
      </c>
      <c r="B67" s="142">
        <v>3306</v>
      </c>
      <c r="C67" s="142" t="s">
        <v>1018</v>
      </c>
      <c r="D67" s="457">
        <v>944.38333333333298</v>
      </c>
      <c r="E67" s="267" t="s">
        <v>864</v>
      </c>
      <c r="F67" s="267" t="s">
        <v>865</v>
      </c>
      <c r="G67" s="267" t="s">
        <v>815</v>
      </c>
      <c r="H67" s="267" t="s">
        <v>866</v>
      </c>
      <c r="I67" s="267" t="s">
        <v>867</v>
      </c>
    </row>
    <row r="68" spans="1:9">
      <c r="A68" s="254">
        <v>40409</v>
      </c>
      <c r="B68" s="142">
        <v>3307</v>
      </c>
      <c r="C68" s="142" t="s">
        <v>1019</v>
      </c>
      <c r="D68" s="457">
        <v>600</v>
      </c>
      <c r="E68" s="267" t="s">
        <v>868</v>
      </c>
      <c r="F68" s="267" t="s">
        <v>869</v>
      </c>
      <c r="G68" s="268" t="s">
        <v>776</v>
      </c>
      <c r="H68" s="267" t="s">
        <v>870</v>
      </c>
      <c r="I68" s="267" t="s">
        <v>871</v>
      </c>
    </row>
    <row r="69" spans="1:9">
      <c r="A69" s="254">
        <v>40410</v>
      </c>
      <c r="B69" s="142">
        <v>3308</v>
      </c>
      <c r="C69" s="142" t="s">
        <v>1017</v>
      </c>
      <c r="D69" s="457">
        <v>10600.061111111099</v>
      </c>
      <c r="E69" s="267" t="s">
        <v>872</v>
      </c>
      <c r="F69" s="267"/>
      <c r="G69" s="267"/>
      <c r="H69" s="267"/>
      <c r="I69" s="267"/>
    </row>
    <row r="70" spans="1:9">
      <c r="A70" s="254">
        <v>40412</v>
      </c>
      <c r="B70" s="142">
        <v>3309</v>
      </c>
      <c r="C70" s="142" t="s">
        <v>1017</v>
      </c>
      <c r="D70" s="457">
        <v>10943.4444444444</v>
      </c>
      <c r="E70" s="267" t="s">
        <v>873</v>
      </c>
      <c r="F70" s="267"/>
      <c r="G70" s="267"/>
      <c r="H70" s="267"/>
      <c r="I70" s="267"/>
    </row>
    <row r="71" spans="1:9">
      <c r="A71" s="254">
        <v>40414</v>
      </c>
      <c r="B71" s="142">
        <v>3310</v>
      </c>
      <c r="C71" s="142" t="s">
        <v>1018</v>
      </c>
      <c r="D71" s="457">
        <v>971.26666666666597</v>
      </c>
      <c r="E71" s="267" t="s">
        <v>874</v>
      </c>
      <c r="F71" s="267" t="s">
        <v>875</v>
      </c>
      <c r="G71" s="267" t="s">
        <v>729</v>
      </c>
      <c r="H71" s="267" t="s">
        <v>876</v>
      </c>
      <c r="I71" s="267" t="s">
        <v>877</v>
      </c>
    </row>
    <row r="72" spans="1:9">
      <c r="A72" s="254">
        <v>40416</v>
      </c>
      <c r="B72" s="142">
        <v>3311</v>
      </c>
      <c r="C72" s="142" t="s">
        <v>1019</v>
      </c>
      <c r="D72" s="457">
        <v>600</v>
      </c>
      <c r="E72" s="267" t="s">
        <v>878</v>
      </c>
      <c r="F72" s="267" t="s">
        <v>879</v>
      </c>
      <c r="G72" s="267" t="s">
        <v>880</v>
      </c>
      <c r="H72" s="267" t="s">
        <v>881</v>
      </c>
      <c r="I72" s="267" t="s">
        <v>882</v>
      </c>
    </row>
    <row r="73" spans="1:9">
      <c r="A73" s="254">
        <v>40419</v>
      </c>
      <c r="B73" s="142">
        <v>3312</v>
      </c>
      <c r="C73" s="142" t="s">
        <v>1017</v>
      </c>
      <c r="D73" s="457">
        <v>8866</v>
      </c>
      <c r="E73" s="267" t="s">
        <v>883</v>
      </c>
      <c r="F73" s="267" t="s">
        <v>884</v>
      </c>
      <c r="G73" s="267" t="s">
        <v>885</v>
      </c>
      <c r="H73" s="267" t="s">
        <v>886</v>
      </c>
      <c r="I73" s="267" t="s">
        <v>887</v>
      </c>
    </row>
    <row r="74" spans="1:9">
      <c r="A74" s="254">
        <v>40420</v>
      </c>
      <c r="B74" s="142">
        <v>3313</v>
      </c>
      <c r="C74" s="142" t="s">
        <v>1017</v>
      </c>
      <c r="D74" s="457">
        <v>8777</v>
      </c>
      <c r="E74" s="267" t="s">
        <v>888</v>
      </c>
      <c r="F74" s="267"/>
      <c r="G74" s="267"/>
      <c r="H74" s="267"/>
      <c r="I74" s="267"/>
    </row>
    <row r="75" spans="1:9">
      <c r="A75" s="254">
        <v>40423</v>
      </c>
      <c r="B75" s="142">
        <v>3314</v>
      </c>
      <c r="C75" s="142" t="s">
        <v>1018</v>
      </c>
      <c r="D75" s="457">
        <v>998.15</v>
      </c>
      <c r="E75" s="267" t="s">
        <v>889</v>
      </c>
      <c r="F75" s="267" t="s">
        <v>890</v>
      </c>
      <c r="G75" s="267" t="s">
        <v>891</v>
      </c>
      <c r="H75" s="267" t="s">
        <v>892</v>
      </c>
      <c r="I75" s="267" t="s">
        <v>893</v>
      </c>
    </row>
    <row r="76" spans="1:9">
      <c r="A76" s="254">
        <v>40425</v>
      </c>
      <c r="B76" s="142">
        <v>3315</v>
      </c>
      <c r="C76" s="142" t="s">
        <v>1019</v>
      </c>
      <c r="D76" s="457">
        <v>1200</v>
      </c>
      <c r="E76" s="267" t="s">
        <v>894</v>
      </c>
      <c r="F76" s="267"/>
      <c r="G76" s="267"/>
      <c r="H76" s="267"/>
      <c r="I76" s="267"/>
    </row>
    <row r="77" spans="1:9">
      <c r="A77" s="254">
        <v>40428</v>
      </c>
      <c r="B77" s="142">
        <v>3316</v>
      </c>
      <c r="C77" s="142" t="s">
        <v>1017</v>
      </c>
      <c r="D77" s="457">
        <v>7687</v>
      </c>
      <c r="E77" s="267" t="s">
        <v>895</v>
      </c>
      <c r="F77" s="267" t="s">
        <v>896</v>
      </c>
      <c r="G77" s="267"/>
      <c r="H77" s="267" t="s">
        <v>897</v>
      </c>
      <c r="I77" s="267"/>
    </row>
    <row r="78" spans="1:9">
      <c r="A78" s="254">
        <v>40430</v>
      </c>
      <c r="B78" s="142">
        <v>3317</v>
      </c>
      <c r="C78" s="142" t="s">
        <v>1017</v>
      </c>
      <c r="D78" s="457">
        <v>7482.1955555555396</v>
      </c>
      <c r="E78" s="267" t="s">
        <v>898</v>
      </c>
      <c r="F78" s="267" t="s">
        <v>899</v>
      </c>
      <c r="G78" s="267" t="s">
        <v>850</v>
      </c>
      <c r="H78" s="267" t="s">
        <v>900</v>
      </c>
      <c r="I78" s="267" t="s">
        <v>901</v>
      </c>
    </row>
    <row r="79" spans="1:9">
      <c r="A79" s="254">
        <v>40431</v>
      </c>
      <c r="B79" s="142">
        <v>3318</v>
      </c>
      <c r="C79" s="142" t="s">
        <v>1018</v>
      </c>
      <c r="D79" s="457">
        <v>1025.0333333333299</v>
      </c>
      <c r="E79" s="267" t="s">
        <v>902</v>
      </c>
      <c r="F79" s="267"/>
      <c r="G79" s="267"/>
      <c r="H79" s="267"/>
      <c r="I79" s="267"/>
    </row>
    <row r="80" spans="1:9">
      <c r="A80" s="254">
        <v>40433</v>
      </c>
      <c r="B80" s="142">
        <v>3319</v>
      </c>
      <c r="C80" s="142" t="s">
        <v>1019</v>
      </c>
      <c r="D80" s="457">
        <v>600</v>
      </c>
      <c r="E80" s="267" t="s">
        <v>903</v>
      </c>
      <c r="F80" s="267" t="s">
        <v>904</v>
      </c>
      <c r="G80" s="267" t="s">
        <v>815</v>
      </c>
      <c r="H80" s="267" t="s">
        <v>905</v>
      </c>
      <c r="I80" s="267" t="s">
        <v>906</v>
      </c>
    </row>
    <row r="81" spans="1:9">
      <c r="A81" s="254">
        <v>40435</v>
      </c>
      <c r="B81" s="142">
        <v>3320</v>
      </c>
      <c r="C81" s="142" t="s">
        <v>1017</v>
      </c>
      <c r="D81" s="457">
        <v>6899.4807936507796</v>
      </c>
      <c r="E81" s="267" t="s">
        <v>907</v>
      </c>
      <c r="F81" s="267" t="s">
        <v>908</v>
      </c>
      <c r="G81" s="268" t="s">
        <v>909</v>
      </c>
      <c r="H81" s="267" t="s">
        <v>910</v>
      </c>
      <c r="I81" s="267"/>
    </row>
    <row r="82" spans="1:9">
      <c r="A82" s="254">
        <v>40436</v>
      </c>
      <c r="B82" s="142">
        <v>3321</v>
      </c>
      <c r="C82" s="142" t="s">
        <v>1017</v>
      </c>
      <c r="D82" s="457">
        <v>6316.7660317460204</v>
      </c>
      <c r="E82" s="267" t="s">
        <v>911</v>
      </c>
      <c r="F82" s="267"/>
      <c r="G82" s="267"/>
      <c r="H82" s="267"/>
      <c r="I82" s="267"/>
    </row>
    <row r="83" spans="1:9">
      <c r="A83" s="254">
        <v>40439</v>
      </c>
      <c r="B83" s="142">
        <v>3322</v>
      </c>
      <c r="C83" s="142" t="s">
        <v>1018</v>
      </c>
      <c r="D83" s="457">
        <v>1051.9166666666699</v>
      </c>
      <c r="E83" s="267" t="s">
        <v>912</v>
      </c>
      <c r="F83" s="267" t="s">
        <v>913</v>
      </c>
      <c r="G83" s="267" t="s">
        <v>914</v>
      </c>
      <c r="H83" s="267" t="s">
        <v>915</v>
      </c>
      <c r="I83" s="267" t="s">
        <v>916</v>
      </c>
    </row>
    <row r="84" spans="1:9">
      <c r="A84" s="254">
        <v>40441</v>
      </c>
      <c r="B84" s="142">
        <v>3323</v>
      </c>
      <c r="C84" s="142" t="s">
        <v>1019</v>
      </c>
      <c r="D84" s="457">
        <v>600</v>
      </c>
      <c r="E84" s="267" t="s">
        <v>917</v>
      </c>
      <c r="F84" s="267" t="s">
        <v>918</v>
      </c>
      <c r="G84" s="268" t="s">
        <v>919</v>
      </c>
      <c r="H84" s="267"/>
      <c r="I84" s="267"/>
    </row>
    <row r="85" spans="1:9">
      <c r="A85" s="254">
        <v>40443</v>
      </c>
      <c r="B85" s="142">
        <v>3324</v>
      </c>
      <c r="C85" s="142" t="s">
        <v>1017</v>
      </c>
      <c r="D85" s="457">
        <v>5734.0512698412504</v>
      </c>
      <c r="E85" s="267" t="s">
        <v>920</v>
      </c>
      <c r="F85" s="267" t="s">
        <v>921</v>
      </c>
      <c r="G85" s="267" t="s">
        <v>850</v>
      </c>
      <c r="H85" s="267" t="s">
        <v>922</v>
      </c>
      <c r="I85" s="267"/>
    </row>
    <row r="86" spans="1:9">
      <c r="A86" s="254">
        <v>40446</v>
      </c>
      <c r="B86" s="142">
        <v>3325</v>
      </c>
      <c r="C86" s="142" t="s">
        <v>1017</v>
      </c>
      <c r="D86" s="457">
        <v>5151.3365079364903</v>
      </c>
      <c r="E86" s="267" t="s">
        <v>923</v>
      </c>
      <c r="F86" s="267" t="s">
        <v>924</v>
      </c>
      <c r="G86" s="267" t="s">
        <v>925</v>
      </c>
      <c r="H86" s="267" t="s">
        <v>926</v>
      </c>
      <c r="I86" s="267"/>
    </row>
    <row r="87" spans="1:9">
      <c r="A87" s="254">
        <v>40447</v>
      </c>
      <c r="B87" s="142">
        <v>3326</v>
      </c>
      <c r="C87" s="142" t="s">
        <v>1018</v>
      </c>
      <c r="D87" s="457">
        <v>1078.8</v>
      </c>
      <c r="E87" s="267" t="s">
        <v>927</v>
      </c>
      <c r="F87" s="267" t="s">
        <v>928</v>
      </c>
      <c r="G87" s="267" t="s">
        <v>754</v>
      </c>
      <c r="H87" s="267"/>
      <c r="I87" s="267"/>
    </row>
    <row r="88" spans="1:9">
      <c r="A88" s="254">
        <v>40449</v>
      </c>
      <c r="B88" s="142">
        <v>3327</v>
      </c>
      <c r="C88" s="142" t="s">
        <v>1019</v>
      </c>
      <c r="D88" s="457">
        <v>1200</v>
      </c>
      <c r="E88" s="267" t="s">
        <v>929</v>
      </c>
      <c r="F88" s="267"/>
      <c r="G88" s="267"/>
      <c r="H88" s="267"/>
      <c r="I88" s="267"/>
    </row>
    <row r="89" spans="1:9">
      <c r="A89" s="254">
        <v>40450</v>
      </c>
      <c r="B89" s="142">
        <v>3328</v>
      </c>
      <c r="C89" s="142" t="s">
        <v>1017</v>
      </c>
      <c r="D89" s="457">
        <v>4568.6217460317303</v>
      </c>
      <c r="E89" s="267" t="s">
        <v>930</v>
      </c>
      <c r="F89" s="267" t="s">
        <v>931</v>
      </c>
      <c r="G89" s="267" t="s">
        <v>815</v>
      </c>
      <c r="H89" s="267" t="s">
        <v>932</v>
      </c>
      <c r="I89" s="267"/>
    </row>
    <row r="90" spans="1:9">
      <c r="A90" s="254">
        <v>40452</v>
      </c>
      <c r="B90" s="142">
        <v>3329</v>
      </c>
      <c r="C90" s="142" t="s">
        <v>1017</v>
      </c>
      <c r="D90" s="457">
        <v>3985.9069841269602</v>
      </c>
      <c r="E90" s="267" t="s">
        <v>933</v>
      </c>
      <c r="F90" s="267"/>
      <c r="G90" s="267" t="s">
        <v>934</v>
      </c>
      <c r="H90" s="267"/>
      <c r="I90" s="267" t="s">
        <v>935</v>
      </c>
    </row>
    <row r="91" spans="1:9">
      <c r="A91" s="254">
        <v>40453</v>
      </c>
      <c r="B91" s="142">
        <v>3330</v>
      </c>
      <c r="C91" s="142" t="s">
        <v>1018</v>
      </c>
      <c r="D91" s="457">
        <v>1105.68333333333</v>
      </c>
      <c r="E91" s="267" t="s">
        <v>936</v>
      </c>
      <c r="F91" s="267" t="s">
        <v>937</v>
      </c>
      <c r="G91" s="267" t="s">
        <v>776</v>
      </c>
      <c r="H91" s="267"/>
      <c r="I91" s="267"/>
    </row>
    <row r="92" spans="1:9">
      <c r="A92" s="254">
        <v>40454</v>
      </c>
      <c r="B92" s="142">
        <v>3331</v>
      </c>
      <c r="C92" s="142" t="s">
        <v>1019</v>
      </c>
      <c r="D92" s="457">
        <v>1800</v>
      </c>
      <c r="E92" s="267" t="s">
        <v>938</v>
      </c>
      <c r="F92" s="267" t="s">
        <v>939</v>
      </c>
      <c r="G92" s="267" t="s">
        <v>940</v>
      </c>
      <c r="H92" s="267" t="s">
        <v>941</v>
      </c>
      <c r="I92" s="267" t="s">
        <v>942</v>
      </c>
    </row>
    <row r="93" spans="1:9">
      <c r="A93" s="254">
        <v>40455</v>
      </c>
      <c r="B93" s="142">
        <v>3332</v>
      </c>
      <c r="C93" s="142" t="s">
        <v>1017</v>
      </c>
      <c r="D93" s="457">
        <v>3403.1922222222001</v>
      </c>
      <c r="E93" s="267" t="s">
        <v>944</v>
      </c>
      <c r="F93" s="267" t="s">
        <v>945</v>
      </c>
      <c r="G93" s="267" t="s">
        <v>776</v>
      </c>
      <c r="H93" s="267" t="s">
        <v>946</v>
      </c>
      <c r="I93" s="267"/>
    </row>
    <row r="94" spans="1:9">
      <c r="A94" s="254">
        <v>40458</v>
      </c>
      <c r="B94" s="142">
        <v>3333</v>
      </c>
      <c r="C94" s="142" t="s">
        <v>1017</v>
      </c>
      <c r="D94" s="457">
        <v>2820.4774603174401</v>
      </c>
      <c r="E94" s="267" t="s">
        <v>947</v>
      </c>
      <c r="F94" s="267" t="s">
        <v>948</v>
      </c>
      <c r="G94" s="267" t="s">
        <v>949</v>
      </c>
      <c r="H94" s="267" t="s">
        <v>950</v>
      </c>
      <c r="I94" s="267"/>
    </row>
    <row r="95" spans="1:9">
      <c r="A95" s="254">
        <v>40460</v>
      </c>
      <c r="B95" s="142">
        <v>3334</v>
      </c>
      <c r="C95" s="142" t="s">
        <v>1018</v>
      </c>
      <c r="D95" s="457">
        <v>1132.56666666667</v>
      </c>
      <c r="E95" s="267" t="s">
        <v>951</v>
      </c>
      <c r="F95" s="267"/>
      <c r="G95" s="267"/>
      <c r="H95" s="267"/>
      <c r="I95" s="267"/>
    </row>
    <row r="96" spans="1:9">
      <c r="A96" s="254">
        <v>40463</v>
      </c>
      <c r="B96" s="142">
        <v>3335</v>
      </c>
      <c r="C96" s="142" t="s">
        <v>1019</v>
      </c>
      <c r="D96" s="457">
        <v>600</v>
      </c>
      <c r="E96" s="267" t="s">
        <v>952</v>
      </c>
      <c r="F96" s="267"/>
      <c r="G96" s="267"/>
      <c r="H96" s="267"/>
      <c r="I96" s="267"/>
    </row>
    <row r="97" spans="1:9">
      <c r="A97" s="254">
        <v>40464</v>
      </c>
      <c r="B97" s="142">
        <v>3336</v>
      </c>
      <c r="C97" s="142" t="s">
        <v>1017</v>
      </c>
      <c r="D97" s="457">
        <v>2237.76269841268</v>
      </c>
      <c r="E97" s="267" t="s">
        <v>953</v>
      </c>
      <c r="F97" s="267"/>
      <c r="G97" s="267"/>
      <c r="H97" s="267"/>
      <c r="I97" s="267"/>
    </row>
    <row r="98" spans="1:9">
      <c r="A98" s="254">
        <v>40467</v>
      </c>
      <c r="B98" s="142">
        <v>3337</v>
      </c>
      <c r="C98" s="142" t="s">
        <v>1017</v>
      </c>
      <c r="D98" s="457">
        <v>1655.04793650791</v>
      </c>
      <c r="E98" s="267" t="s">
        <v>954</v>
      </c>
      <c r="F98" s="267"/>
      <c r="G98" s="267"/>
      <c r="H98" s="267"/>
      <c r="I98" s="267"/>
    </row>
    <row r="99" spans="1:9">
      <c r="A99" s="254">
        <v>40470</v>
      </c>
      <c r="B99" s="142">
        <v>3338</v>
      </c>
      <c r="C99" s="142" t="s">
        <v>1018</v>
      </c>
      <c r="D99" s="457">
        <v>1159.45</v>
      </c>
      <c r="E99" s="267" t="s">
        <v>955</v>
      </c>
      <c r="F99" s="267"/>
      <c r="G99" s="267"/>
      <c r="H99" s="267"/>
      <c r="I99" s="267"/>
    </row>
    <row r="100" spans="1:9">
      <c r="A100" s="254">
        <v>40471</v>
      </c>
      <c r="B100" s="142">
        <v>3339</v>
      </c>
      <c r="C100" s="142" t="s">
        <v>1019</v>
      </c>
      <c r="D100" s="457">
        <v>600</v>
      </c>
      <c r="E100" s="267" t="s">
        <v>956</v>
      </c>
      <c r="F100" s="268" t="s">
        <v>957</v>
      </c>
      <c r="G100" s="267" t="s">
        <v>776</v>
      </c>
      <c r="H100" s="267" t="s">
        <v>958</v>
      </c>
      <c r="I100" s="267" t="s">
        <v>959</v>
      </c>
    </row>
    <row r="101" spans="1:9">
      <c r="A101" s="254">
        <v>40473</v>
      </c>
      <c r="B101" s="142">
        <v>3340</v>
      </c>
      <c r="C101" s="142" t="s">
        <v>1017</v>
      </c>
      <c r="D101" s="457">
        <v>1072.3331746031499</v>
      </c>
      <c r="E101" s="267" t="s">
        <v>960</v>
      </c>
      <c r="F101" s="267"/>
      <c r="G101" s="267"/>
      <c r="H101" s="267"/>
      <c r="I101" s="267"/>
    </row>
    <row r="102" spans="1:9">
      <c r="A102" s="254">
        <v>40476</v>
      </c>
      <c r="B102" s="142">
        <v>3341</v>
      </c>
      <c r="C102" s="142" t="s">
        <v>1017</v>
      </c>
      <c r="D102" s="457">
        <v>489.61841269842398</v>
      </c>
      <c r="E102" s="267" t="s">
        <v>961</v>
      </c>
      <c r="F102" s="267" t="s">
        <v>962</v>
      </c>
      <c r="G102" s="268" t="s">
        <v>963</v>
      </c>
      <c r="H102" s="267"/>
      <c r="I102" s="267"/>
    </row>
    <row r="103" spans="1:9">
      <c r="A103" s="254">
        <v>40477</v>
      </c>
      <c r="B103" s="142">
        <v>3342</v>
      </c>
      <c r="C103" s="142" t="s">
        <v>1018</v>
      </c>
      <c r="D103" s="457">
        <v>1186.3333333333301</v>
      </c>
      <c r="E103" s="267" t="s">
        <v>964</v>
      </c>
      <c r="F103" s="267"/>
      <c r="G103" s="267"/>
      <c r="H103" s="267"/>
      <c r="I103" s="267"/>
    </row>
    <row r="104" spans="1:9">
      <c r="A104" s="254">
        <v>40479</v>
      </c>
      <c r="B104" s="142">
        <v>3343</v>
      </c>
      <c r="C104" s="142" t="s">
        <v>1019</v>
      </c>
      <c r="D104" s="457">
        <v>600</v>
      </c>
      <c r="E104" s="267" t="s">
        <v>965</v>
      </c>
      <c r="F104" s="267" t="s">
        <v>966</v>
      </c>
      <c r="G104" s="267" t="s">
        <v>850</v>
      </c>
      <c r="H104" s="267" t="s">
        <v>967</v>
      </c>
      <c r="I104" s="267" t="s">
        <v>968</v>
      </c>
    </row>
    <row r="105" spans="1:9">
      <c r="A105" s="254">
        <v>40480</v>
      </c>
      <c r="B105" s="142">
        <v>3344</v>
      </c>
      <c r="C105" s="142" t="s">
        <v>1017</v>
      </c>
      <c r="D105" s="457">
        <v>4356</v>
      </c>
      <c r="E105" s="267" t="s">
        <v>969</v>
      </c>
      <c r="F105" s="267" t="s">
        <v>970</v>
      </c>
      <c r="G105" s="267" t="s">
        <v>971</v>
      </c>
      <c r="H105" s="267"/>
      <c r="I105" s="267"/>
    </row>
    <row r="106" spans="1:9">
      <c r="A106" s="254">
        <v>40482</v>
      </c>
      <c r="B106" s="142">
        <v>3345</v>
      </c>
      <c r="C106" s="142" t="s">
        <v>1017</v>
      </c>
      <c r="D106" s="457">
        <v>2883.46596825398</v>
      </c>
      <c r="E106" s="267" t="s">
        <v>972</v>
      </c>
      <c r="F106" s="267"/>
      <c r="G106" s="267"/>
      <c r="H106" s="267"/>
      <c r="I106" s="267"/>
    </row>
    <row r="107" spans="1:9">
      <c r="A107" s="254">
        <v>40485</v>
      </c>
      <c r="B107" s="142">
        <v>3346</v>
      </c>
      <c r="C107" s="142" t="s">
        <v>1018</v>
      </c>
      <c r="D107" s="457">
        <v>1213.2166666666701</v>
      </c>
      <c r="E107" s="267" t="s">
        <v>973</v>
      </c>
      <c r="F107" s="267" t="s">
        <v>974</v>
      </c>
      <c r="G107" s="268" t="s">
        <v>975</v>
      </c>
      <c r="H107" s="267"/>
      <c r="I107" s="267"/>
    </row>
    <row r="108" spans="1:9">
      <c r="A108" s="254">
        <v>40487</v>
      </c>
      <c r="B108" s="142">
        <v>3347</v>
      </c>
      <c r="C108" s="142" t="s">
        <v>1019</v>
      </c>
      <c r="D108" s="457">
        <v>1200</v>
      </c>
      <c r="E108" s="267" t="s">
        <v>976</v>
      </c>
      <c r="F108" s="267" t="s">
        <v>977</v>
      </c>
      <c r="G108" s="267" t="s">
        <v>978</v>
      </c>
      <c r="H108" s="267"/>
      <c r="I108" s="267"/>
    </row>
    <row r="109" spans="1:9">
      <c r="A109" s="254">
        <v>40490</v>
      </c>
      <c r="B109" s="142">
        <v>3348</v>
      </c>
      <c r="C109" s="142" t="s">
        <v>1017</v>
      </c>
      <c r="D109" s="457">
        <v>3190.5704761904899</v>
      </c>
      <c r="E109" s="267" t="s">
        <v>979</v>
      </c>
      <c r="F109" s="267" t="s">
        <v>980</v>
      </c>
      <c r="G109" s="267" t="s">
        <v>981</v>
      </c>
      <c r="H109" s="267"/>
      <c r="I109" s="267"/>
    </row>
    <row r="110" spans="1:9">
      <c r="A110" s="254">
        <v>40491</v>
      </c>
      <c r="B110" s="142">
        <v>3349</v>
      </c>
      <c r="C110" s="142" t="s">
        <v>1017</v>
      </c>
      <c r="D110" s="457">
        <v>3497.6749841270098</v>
      </c>
      <c r="E110" s="267" t="s">
        <v>982</v>
      </c>
      <c r="F110" s="267"/>
      <c r="G110" s="267"/>
      <c r="H110" s="267"/>
      <c r="I110" s="267"/>
    </row>
    <row r="111" spans="1:9">
      <c r="A111" s="254">
        <v>40494</v>
      </c>
      <c r="B111" s="142">
        <v>3350</v>
      </c>
      <c r="C111" s="142" t="s">
        <v>1018</v>
      </c>
      <c r="D111" s="457">
        <v>1240.0999999999999</v>
      </c>
      <c r="E111" s="267" t="s">
        <v>983</v>
      </c>
      <c r="F111" s="267"/>
      <c r="G111" s="267" t="s">
        <v>984</v>
      </c>
      <c r="H111" s="267" t="s">
        <v>985</v>
      </c>
      <c r="I111" s="267" t="s">
        <v>986</v>
      </c>
    </row>
    <row r="112" spans="1:9">
      <c r="A112" s="254">
        <v>40497</v>
      </c>
      <c r="B112" s="142">
        <v>3351</v>
      </c>
      <c r="C112" s="142" t="s">
        <v>1019</v>
      </c>
      <c r="D112" s="457">
        <v>600</v>
      </c>
      <c r="E112" s="267" t="s">
        <v>987</v>
      </c>
      <c r="F112" s="267" t="s">
        <v>988</v>
      </c>
      <c r="G112" s="267" t="s">
        <v>989</v>
      </c>
      <c r="H112" s="267" t="s">
        <v>990</v>
      </c>
      <c r="I112" s="267" t="s">
        <v>991</v>
      </c>
    </row>
    <row r="113" spans="1:9">
      <c r="A113" s="254">
        <v>40498</v>
      </c>
      <c r="B113" s="142">
        <v>3352</v>
      </c>
      <c r="C113" s="142" t="s">
        <v>1017</v>
      </c>
      <c r="D113" s="457">
        <v>3804.7794920635201</v>
      </c>
      <c r="E113" s="267" t="s">
        <v>992</v>
      </c>
      <c r="F113" s="267" t="s">
        <v>993</v>
      </c>
      <c r="G113" s="267" t="s">
        <v>994</v>
      </c>
      <c r="H113" s="267" t="s">
        <v>995</v>
      </c>
      <c r="I113" s="267"/>
    </row>
    <row r="114" spans="1:9">
      <c r="A114" s="254">
        <v>40501</v>
      </c>
      <c r="B114" s="142">
        <v>3353</v>
      </c>
      <c r="C114" s="142" t="s">
        <v>1017</v>
      </c>
      <c r="D114" s="457">
        <v>4111.88400000004</v>
      </c>
      <c r="E114" s="267" t="s">
        <v>996</v>
      </c>
      <c r="F114" s="267"/>
      <c r="G114" s="267"/>
      <c r="H114" s="267"/>
      <c r="I114" s="267"/>
    </row>
    <row r="115" spans="1:9">
      <c r="A115" s="254">
        <v>40502</v>
      </c>
      <c r="B115" s="142">
        <v>3354</v>
      </c>
      <c r="C115" s="142" t="s">
        <v>1018</v>
      </c>
      <c r="D115" s="457">
        <v>1266.9833333333299</v>
      </c>
      <c r="E115" s="267" t="s">
        <v>997</v>
      </c>
      <c r="F115" s="267" t="s">
        <v>998</v>
      </c>
      <c r="G115" s="268" t="s">
        <v>999</v>
      </c>
      <c r="H115" s="267"/>
      <c r="I115" s="267"/>
    </row>
    <row r="116" spans="1:9">
      <c r="A116" s="254">
        <v>40504</v>
      </c>
      <c r="B116" s="142">
        <v>3355</v>
      </c>
      <c r="C116" s="142" t="s">
        <v>1019</v>
      </c>
      <c r="D116" s="457">
        <v>600</v>
      </c>
      <c r="E116" s="267" t="s">
        <v>1000</v>
      </c>
      <c r="F116" s="267" t="s">
        <v>1001</v>
      </c>
      <c r="G116" s="267" t="s">
        <v>754</v>
      </c>
      <c r="H116" s="267"/>
      <c r="I116" s="267"/>
    </row>
    <row r="117" spans="1:9">
      <c r="A117" s="254">
        <v>40505</v>
      </c>
      <c r="B117" s="142">
        <v>3356</v>
      </c>
      <c r="C117" s="142" t="s">
        <v>1017</v>
      </c>
      <c r="D117" s="457">
        <v>4418.9885079365504</v>
      </c>
      <c r="E117" s="267" t="s">
        <v>1002</v>
      </c>
      <c r="F117" s="267" t="s">
        <v>1003</v>
      </c>
      <c r="G117" s="267" t="s">
        <v>793</v>
      </c>
      <c r="H117" s="267" t="s">
        <v>1004</v>
      </c>
      <c r="I117" s="267"/>
    </row>
    <row r="118" spans="1:9">
      <c r="A118" s="254">
        <v>40507</v>
      </c>
      <c r="B118" s="142">
        <v>3357</v>
      </c>
      <c r="C118" s="142" t="s">
        <v>1017</v>
      </c>
      <c r="D118" s="457">
        <v>4726.0930158730698</v>
      </c>
      <c r="E118" s="267" t="s">
        <v>1005</v>
      </c>
      <c r="F118" s="267" t="s">
        <v>1006</v>
      </c>
      <c r="G118" s="267" t="s">
        <v>754</v>
      </c>
      <c r="H118" s="267"/>
      <c r="I118" s="267"/>
    </row>
    <row r="119" spans="1:9">
      <c r="A119" s="254">
        <v>40509</v>
      </c>
      <c r="B119" s="142">
        <v>3358</v>
      </c>
      <c r="C119" s="142" t="s">
        <v>1018</v>
      </c>
      <c r="D119" s="457">
        <v>1293.86666666667</v>
      </c>
      <c r="E119" s="267" t="s">
        <v>1007</v>
      </c>
      <c r="F119" s="267" t="s">
        <v>1008</v>
      </c>
      <c r="G119" s="267" t="s">
        <v>1009</v>
      </c>
      <c r="H119" s="267" t="s">
        <v>1010</v>
      </c>
      <c r="I119" s="267" t="s">
        <v>1011</v>
      </c>
    </row>
    <row r="120" spans="1:9">
      <c r="A120" s="254">
        <v>40512</v>
      </c>
      <c r="B120" s="142">
        <v>3359</v>
      </c>
      <c r="C120" s="142" t="s">
        <v>1019</v>
      </c>
      <c r="D120" s="457">
        <v>1200</v>
      </c>
      <c r="E120" s="267" t="s">
        <v>1012</v>
      </c>
      <c r="F120" s="267" t="s">
        <v>1013</v>
      </c>
      <c r="G120" s="267" t="s">
        <v>1014</v>
      </c>
    </row>
    <row r="121" spans="1:9" ht="16.5" thickBot="1">
      <c r="D121" s="282">
        <f>SUM(D6:D120)</f>
        <v>362626.85834920622</v>
      </c>
    </row>
    <row r="122" spans="1:9" ht="16.5" thickTop="1"/>
  </sheetData>
  <sortState ref="A5:I119">
    <sortCondition ref="A5"/>
  </sortState>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I31"/>
  <sheetViews>
    <sheetView showGridLines="0" workbookViewId="0">
      <selection activeCell="F4" sqref="F4"/>
    </sheetView>
  </sheetViews>
  <sheetFormatPr defaultRowHeight="15.75"/>
  <cols>
    <col min="1" max="1" width="9.140625" style="142"/>
    <col min="2" max="2" width="22.5703125" style="142" customWidth="1"/>
    <col min="3" max="8" width="13.5703125" style="142" customWidth="1"/>
    <col min="9" max="9" width="12.5703125" style="142" customWidth="1"/>
    <col min="10" max="16384" width="9.140625" style="142"/>
  </cols>
  <sheetData>
    <row r="1" spans="1:9" ht="23.25">
      <c r="A1" s="33" t="s">
        <v>1032</v>
      </c>
      <c r="E1" s="638" t="s">
        <v>2056</v>
      </c>
      <c r="H1" s="3"/>
    </row>
    <row r="2" spans="1:9" ht="23.25">
      <c r="A2" s="33"/>
    </row>
    <row r="4" spans="1:9" ht="21">
      <c r="E4" s="264" t="s">
        <v>1021</v>
      </c>
    </row>
    <row r="5" spans="1:9">
      <c r="B5" s="142" t="s">
        <v>1031</v>
      </c>
      <c r="C5" s="175">
        <f>COUNT(C8:C29)</f>
        <v>11</v>
      </c>
      <c r="D5" s="175">
        <f t="shared" ref="D5:H5" si="0">COUNT(D8:D29)</f>
        <v>14</v>
      </c>
      <c r="E5" s="175">
        <f t="shared" si="0"/>
        <v>11</v>
      </c>
      <c r="F5" s="175">
        <f t="shared" si="0"/>
        <v>8</v>
      </c>
      <c r="G5" s="175">
        <f t="shared" si="0"/>
        <v>12</v>
      </c>
      <c r="H5" s="175">
        <f t="shared" si="0"/>
        <v>10</v>
      </c>
      <c r="I5" s="175">
        <f>COUNT(C8:H29)</f>
        <v>66</v>
      </c>
    </row>
    <row r="6" spans="1:9" ht="18.75">
      <c r="E6" s="265" t="s">
        <v>1022</v>
      </c>
    </row>
    <row r="7" spans="1:9" ht="31.5">
      <c r="B7" s="266" t="s">
        <v>179</v>
      </c>
      <c r="C7" s="266" t="s">
        <v>1023</v>
      </c>
      <c r="D7" s="266" t="s">
        <v>1024</v>
      </c>
      <c r="E7" s="266" t="s">
        <v>1025</v>
      </c>
      <c r="F7" s="266" t="s">
        <v>1026</v>
      </c>
      <c r="G7" s="266" t="s">
        <v>1027</v>
      </c>
      <c r="H7" s="266" t="s">
        <v>1028</v>
      </c>
      <c r="I7" s="266" t="s">
        <v>1029</v>
      </c>
    </row>
    <row r="8" spans="1:9">
      <c r="B8" s="267" t="s">
        <v>746</v>
      </c>
      <c r="C8" s="142">
        <v>4</v>
      </c>
      <c r="D8" s="142">
        <v>1</v>
      </c>
      <c r="E8" s="142">
        <v>4</v>
      </c>
      <c r="G8" s="142">
        <v>1</v>
      </c>
      <c r="H8" s="142">
        <v>3</v>
      </c>
      <c r="I8" s="142">
        <f>SUM(C8:H8)</f>
        <v>13</v>
      </c>
    </row>
    <row r="9" spans="1:9">
      <c r="B9" s="267" t="s">
        <v>751</v>
      </c>
      <c r="D9" s="142">
        <v>2</v>
      </c>
      <c r="E9" s="142">
        <v>1</v>
      </c>
      <c r="F9" s="142">
        <v>2</v>
      </c>
      <c r="G9" s="142">
        <v>3</v>
      </c>
      <c r="I9" s="142">
        <f t="shared" ref="I9:I29" si="1">SUM(C9:H9)</f>
        <v>8</v>
      </c>
    </row>
    <row r="10" spans="1:9">
      <c r="B10" s="267" t="s">
        <v>752</v>
      </c>
      <c r="C10" s="142">
        <v>1</v>
      </c>
      <c r="E10" s="142">
        <v>1</v>
      </c>
      <c r="F10" s="142">
        <v>2</v>
      </c>
      <c r="I10" s="142">
        <f t="shared" si="1"/>
        <v>4</v>
      </c>
    </row>
    <row r="11" spans="1:9">
      <c r="B11" s="267" t="s">
        <v>756</v>
      </c>
      <c r="E11" s="142">
        <v>3</v>
      </c>
      <c r="G11" s="142">
        <v>3</v>
      </c>
      <c r="H11" s="142">
        <v>4</v>
      </c>
      <c r="I11" s="142">
        <f t="shared" si="1"/>
        <v>10</v>
      </c>
    </row>
    <row r="12" spans="1:9">
      <c r="B12" s="268" t="s">
        <v>757</v>
      </c>
      <c r="C12" s="142">
        <v>3</v>
      </c>
      <c r="D12" s="142">
        <v>3</v>
      </c>
      <c r="I12" s="142">
        <f t="shared" si="1"/>
        <v>6</v>
      </c>
    </row>
    <row r="13" spans="1:9">
      <c r="B13" s="267" t="s">
        <v>760</v>
      </c>
      <c r="C13" s="142">
        <v>1</v>
      </c>
      <c r="E13" s="142">
        <v>3</v>
      </c>
      <c r="F13" s="142">
        <v>2</v>
      </c>
      <c r="G13" s="142">
        <v>1</v>
      </c>
      <c r="H13" s="142">
        <v>1</v>
      </c>
      <c r="I13" s="142">
        <f t="shared" si="1"/>
        <v>8</v>
      </c>
    </row>
    <row r="14" spans="1:9">
      <c r="B14" s="267" t="s">
        <v>763</v>
      </c>
      <c r="I14" s="142">
        <f t="shared" si="1"/>
        <v>0</v>
      </c>
    </row>
    <row r="15" spans="1:9">
      <c r="B15" s="267" t="s">
        <v>768</v>
      </c>
      <c r="C15" s="142">
        <v>3</v>
      </c>
      <c r="D15" s="142">
        <v>3</v>
      </c>
      <c r="F15" s="142">
        <v>3</v>
      </c>
      <c r="H15" s="142">
        <v>4</v>
      </c>
      <c r="I15" s="142">
        <f t="shared" si="1"/>
        <v>13</v>
      </c>
    </row>
    <row r="16" spans="1:9">
      <c r="B16" s="267" t="s">
        <v>772</v>
      </c>
      <c r="D16" s="142">
        <v>1</v>
      </c>
      <c r="G16" s="142">
        <v>6</v>
      </c>
      <c r="I16" s="142">
        <f t="shared" si="1"/>
        <v>7</v>
      </c>
    </row>
    <row r="17" spans="2:9">
      <c r="B17" s="267" t="s">
        <v>773</v>
      </c>
      <c r="D17" s="142">
        <v>2</v>
      </c>
      <c r="E17" s="142">
        <v>1</v>
      </c>
      <c r="G17" s="142">
        <v>2</v>
      </c>
      <c r="H17" s="142">
        <v>3</v>
      </c>
      <c r="I17" s="142">
        <f t="shared" si="1"/>
        <v>8</v>
      </c>
    </row>
    <row r="18" spans="2:9">
      <c r="B18" s="267" t="s">
        <v>774</v>
      </c>
      <c r="C18" s="142">
        <v>4</v>
      </c>
      <c r="D18" s="142">
        <v>3</v>
      </c>
      <c r="F18" s="142">
        <v>4</v>
      </c>
      <c r="I18" s="142">
        <f t="shared" si="1"/>
        <v>11</v>
      </c>
    </row>
    <row r="19" spans="2:9">
      <c r="B19" s="267" t="s">
        <v>778</v>
      </c>
      <c r="E19" s="142">
        <v>1</v>
      </c>
      <c r="H19" s="142">
        <v>2</v>
      </c>
      <c r="I19" s="142">
        <f t="shared" si="1"/>
        <v>3</v>
      </c>
    </row>
    <row r="20" spans="2:9">
      <c r="B20" s="267" t="s">
        <v>783</v>
      </c>
      <c r="D20" s="142">
        <v>3</v>
      </c>
      <c r="G20" s="142">
        <v>5</v>
      </c>
      <c r="I20" s="142">
        <f t="shared" si="1"/>
        <v>8</v>
      </c>
    </row>
    <row r="21" spans="2:9">
      <c r="B21" s="267" t="s">
        <v>784</v>
      </c>
      <c r="C21" s="142">
        <v>3</v>
      </c>
      <c r="D21" s="142">
        <v>4</v>
      </c>
      <c r="E21" s="142">
        <v>2</v>
      </c>
      <c r="G21" s="142">
        <v>1</v>
      </c>
      <c r="I21" s="142">
        <f t="shared" si="1"/>
        <v>10</v>
      </c>
    </row>
    <row r="22" spans="2:9">
      <c r="B22" s="267" t="s">
        <v>785</v>
      </c>
      <c r="D22" s="142">
        <v>3</v>
      </c>
      <c r="H22" s="142">
        <v>3</v>
      </c>
      <c r="I22" s="142">
        <f t="shared" si="1"/>
        <v>6</v>
      </c>
    </row>
    <row r="23" spans="2:9">
      <c r="B23" s="267" t="s">
        <v>790</v>
      </c>
      <c r="D23" s="142">
        <v>1</v>
      </c>
      <c r="G23" s="142">
        <v>4</v>
      </c>
      <c r="I23" s="142">
        <f t="shared" si="1"/>
        <v>5</v>
      </c>
    </row>
    <row r="24" spans="2:9">
      <c r="B24" s="267" t="s">
        <v>791</v>
      </c>
      <c r="C24" s="142">
        <v>3</v>
      </c>
      <c r="E24" s="142">
        <v>2</v>
      </c>
      <c r="I24" s="142">
        <f t="shared" si="1"/>
        <v>5</v>
      </c>
    </row>
    <row r="25" spans="2:9">
      <c r="B25" s="267" t="s">
        <v>795</v>
      </c>
      <c r="D25" s="142">
        <v>4</v>
      </c>
      <c r="G25" s="142">
        <v>4</v>
      </c>
      <c r="H25" s="142">
        <v>4</v>
      </c>
      <c r="I25" s="142">
        <f t="shared" si="1"/>
        <v>12</v>
      </c>
    </row>
    <row r="26" spans="2:9">
      <c r="B26" s="267" t="s">
        <v>796</v>
      </c>
      <c r="C26" s="142">
        <v>2</v>
      </c>
      <c r="E26" s="142">
        <v>2</v>
      </c>
      <c r="F26" s="142">
        <v>2</v>
      </c>
      <c r="I26" s="142">
        <f t="shared" si="1"/>
        <v>6</v>
      </c>
    </row>
    <row r="27" spans="2:9">
      <c r="B27" s="267" t="s">
        <v>797</v>
      </c>
      <c r="D27" s="142">
        <v>1</v>
      </c>
      <c r="G27" s="142">
        <v>7</v>
      </c>
      <c r="H27" s="142">
        <v>5</v>
      </c>
      <c r="I27" s="142">
        <f t="shared" si="1"/>
        <v>13</v>
      </c>
    </row>
    <row r="28" spans="2:9">
      <c r="B28" s="267" t="s">
        <v>798</v>
      </c>
      <c r="C28" s="142">
        <v>2</v>
      </c>
      <c r="E28" s="142">
        <v>2</v>
      </c>
      <c r="F28" s="142">
        <v>4</v>
      </c>
      <c r="I28" s="142">
        <f t="shared" si="1"/>
        <v>8</v>
      </c>
    </row>
    <row r="29" spans="2:9">
      <c r="B29" s="267" t="s">
        <v>802</v>
      </c>
      <c r="C29" s="142">
        <v>1</v>
      </c>
      <c r="D29" s="142">
        <v>4</v>
      </c>
      <c r="F29" s="142">
        <v>2</v>
      </c>
      <c r="G29" s="142">
        <v>1</v>
      </c>
      <c r="H29" s="142">
        <v>2</v>
      </c>
      <c r="I29" s="142">
        <f t="shared" si="1"/>
        <v>10</v>
      </c>
    </row>
    <row r="30" spans="2:9" ht="16.5" thickBot="1">
      <c r="B30" s="142" t="s">
        <v>1030</v>
      </c>
      <c r="C30" s="270">
        <f t="shared" ref="C30:H30" si="2">SUM(C8:C29)</f>
        <v>27</v>
      </c>
      <c r="D30" s="270">
        <f t="shared" si="2"/>
        <v>35</v>
      </c>
      <c r="E30" s="270">
        <f t="shared" si="2"/>
        <v>22</v>
      </c>
      <c r="F30" s="270">
        <f t="shared" si="2"/>
        <v>21</v>
      </c>
      <c r="G30" s="270">
        <f t="shared" si="2"/>
        <v>38</v>
      </c>
      <c r="H30" s="270">
        <f t="shared" si="2"/>
        <v>31</v>
      </c>
      <c r="I30" s="270">
        <f>SUM(C30:H30)</f>
        <v>174</v>
      </c>
    </row>
    <row r="31" spans="2:9" ht="16.5" thickTop="1"/>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I31"/>
  <sheetViews>
    <sheetView showGridLines="0" workbookViewId="0">
      <selection activeCell="F4" sqref="F4"/>
    </sheetView>
  </sheetViews>
  <sheetFormatPr defaultRowHeight="15.75"/>
  <cols>
    <col min="1" max="1" width="9.140625" style="142"/>
    <col min="2" max="2" width="22.5703125" style="142" customWidth="1"/>
    <col min="3" max="8" width="13.5703125" style="142" customWidth="1"/>
    <col min="9" max="9" width="12.5703125" style="142" customWidth="1"/>
    <col min="10" max="16384" width="9.140625" style="142"/>
  </cols>
  <sheetData>
    <row r="1" spans="1:9" ht="23.25">
      <c r="A1" s="33" t="s">
        <v>1033</v>
      </c>
      <c r="E1" s="638" t="s">
        <v>2056</v>
      </c>
      <c r="H1" s="3"/>
    </row>
    <row r="2" spans="1:9" ht="23.25">
      <c r="A2" s="33"/>
    </row>
    <row r="4" spans="1:9" ht="21">
      <c r="E4" s="264" t="s">
        <v>1021</v>
      </c>
    </row>
    <row r="5" spans="1:9">
      <c r="B5" s="142" t="s">
        <v>1031</v>
      </c>
      <c r="C5" s="175">
        <f>COUNTA(C8:C29)</f>
        <v>12</v>
      </c>
      <c r="D5" s="175">
        <f>COUNTA(D8:D29)</f>
        <v>16</v>
      </c>
      <c r="E5" s="175">
        <f t="shared" ref="E5:I5" si="0">COUNTA(E8:E29)</f>
        <v>16</v>
      </c>
      <c r="F5" s="175">
        <f t="shared" si="0"/>
        <v>11</v>
      </c>
      <c r="G5" s="175">
        <f t="shared" si="0"/>
        <v>15</v>
      </c>
      <c r="H5" s="175">
        <f t="shared" si="0"/>
        <v>15</v>
      </c>
      <c r="I5" s="175">
        <f t="shared" si="0"/>
        <v>22</v>
      </c>
    </row>
    <row r="6" spans="1:9" ht="18.75">
      <c r="E6" s="265" t="s">
        <v>1022</v>
      </c>
    </row>
    <row r="7" spans="1:9" ht="31.5">
      <c r="B7" s="266" t="s">
        <v>179</v>
      </c>
      <c r="C7" s="266" t="s">
        <v>1023</v>
      </c>
      <c r="D7" s="266" t="s">
        <v>1024</v>
      </c>
      <c r="E7" s="266" t="s">
        <v>1025</v>
      </c>
      <c r="F7" s="266" t="s">
        <v>1026</v>
      </c>
      <c r="G7" s="266" t="s">
        <v>1027</v>
      </c>
      <c r="H7" s="266" t="s">
        <v>1028</v>
      </c>
      <c r="I7" s="266" t="s">
        <v>1029</v>
      </c>
    </row>
    <row r="8" spans="1:9">
      <c r="B8" s="267" t="s">
        <v>746</v>
      </c>
      <c r="C8" s="243" t="s">
        <v>1037</v>
      </c>
      <c r="D8" s="243" t="s">
        <v>1039</v>
      </c>
      <c r="E8" s="243" t="s">
        <v>1038</v>
      </c>
      <c r="F8" s="243" t="s">
        <v>1037</v>
      </c>
      <c r="G8" s="243" t="s">
        <v>1039</v>
      </c>
      <c r="H8" s="243" t="s">
        <v>1038</v>
      </c>
      <c r="I8" s="142">
        <f>SUM(C8:H8)</f>
        <v>0</v>
      </c>
    </row>
    <row r="9" spans="1:9">
      <c r="B9" s="267" t="s">
        <v>751</v>
      </c>
      <c r="C9" s="243"/>
      <c r="D9" s="243" t="s">
        <v>1034</v>
      </c>
      <c r="E9" s="243" t="s">
        <v>1039</v>
      </c>
      <c r="F9" s="243"/>
      <c r="G9" s="243" t="s">
        <v>1034</v>
      </c>
      <c r="H9" s="243" t="s">
        <v>1039</v>
      </c>
      <c r="I9" s="142">
        <f t="shared" ref="I9:I29" si="1">SUM(C9:H9)</f>
        <v>0</v>
      </c>
    </row>
    <row r="10" spans="1:9">
      <c r="B10" s="267" t="s">
        <v>752</v>
      </c>
      <c r="C10" s="243" t="s">
        <v>1038</v>
      </c>
      <c r="D10" s="243"/>
      <c r="E10" s="243" t="s">
        <v>1039</v>
      </c>
      <c r="F10" s="243" t="s">
        <v>1038</v>
      </c>
      <c r="G10" s="243"/>
      <c r="H10" s="243" t="s">
        <v>1039</v>
      </c>
      <c r="I10" s="142">
        <f t="shared" si="1"/>
        <v>0</v>
      </c>
    </row>
    <row r="11" spans="1:9">
      <c r="B11" s="267" t="s">
        <v>756</v>
      </c>
      <c r="C11" s="243"/>
      <c r="D11" s="243" t="s">
        <v>1035</v>
      </c>
      <c r="E11" s="243" t="s">
        <v>1040</v>
      </c>
      <c r="F11" s="243"/>
      <c r="G11" s="243" t="s">
        <v>1035</v>
      </c>
      <c r="H11" s="243" t="s">
        <v>1040</v>
      </c>
      <c r="I11" s="142">
        <f t="shared" si="1"/>
        <v>0</v>
      </c>
    </row>
    <row r="12" spans="1:9">
      <c r="B12" s="268" t="s">
        <v>757</v>
      </c>
      <c r="C12" s="243" t="s">
        <v>1034</v>
      </c>
      <c r="D12" s="243" t="s">
        <v>1036</v>
      </c>
      <c r="E12" s="243"/>
      <c r="F12" s="243" t="s">
        <v>1034</v>
      </c>
      <c r="G12" s="243" t="s">
        <v>1036</v>
      </c>
      <c r="H12" s="243"/>
      <c r="I12" s="142">
        <f t="shared" si="1"/>
        <v>0</v>
      </c>
    </row>
    <row r="13" spans="1:9">
      <c r="B13" s="267" t="s">
        <v>760</v>
      </c>
      <c r="C13" s="243"/>
      <c r="D13" s="243"/>
      <c r="E13" s="243"/>
      <c r="F13" s="243" t="s">
        <v>1037</v>
      </c>
      <c r="G13" s="243" t="s">
        <v>1039</v>
      </c>
      <c r="H13" s="243" t="s">
        <v>1038</v>
      </c>
      <c r="I13" s="142">
        <f t="shared" si="1"/>
        <v>0</v>
      </c>
    </row>
    <row r="14" spans="1:9">
      <c r="B14" s="267" t="s">
        <v>763</v>
      </c>
      <c r="C14" s="243"/>
      <c r="D14" s="243"/>
      <c r="E14" s="243"/>
      <c r="F14" s="243"/>
      <c r="G14" s="243" t="s">
        <v>1034</v>
      </c>
      <c r="H14" s="243" t="s">
        <v>1039</v>
      </c>
      <c r="I14" s="142">
        <f t="shared" si="1"/>
        <v>0</v>
      </c>
    </row>
    <row r="15" spans="1:9">
      <c r="B15" s="267" t="s">
        <v>768</v>
      </c>
      <c r="C15" s="243" t="s">
        <v>1037</v>
      </c>
      <c r="D15" s="243" t="s">
        <v>1039</v>
      </c>
      <c r="E15" s="243" t="s">
        <v>1038</v>
      </c>
      <c r="F15" s="243" t="s">
        <v>1038</v>
      </c>
      <c r="G15" s="243"/>
      <c r="H15" s="243" t="s">
        <v>1039</v>
      </c>
      <c r="I15" s="142">
        <f t="shared" si="1"/>
        <v>0</v>
      </c>
    </row>
    <row r="16" spans="1:9">
      <c r="B16" s="267" t="s">
        <v>772</v>
      </c>
      <c r="C16" s="243"/>
      <c r="D16" s="243" t="s">
        <v>1034</v>
      </c>
      <c r="E16" s="243" t="s">
        <v>1039</v>
      </c>
      <c r="F16" s="243"/>
      <c r="G16" s="243" t="s">
        <v>1035</v>
      </c>
      <c r="H16" s="243" t="s">
        <v>1040</v>
      </c>
      <c r="I16" s="142">
        <f t="shared" si="1"/>
        <v>0</v>
      </c>
    </row>
    <row r="17" spans="2:9">
      <c r="B17" s="267" t="s">
        <v>773</v>
      </c>
      <c r="C17" s="243" t="s">
        <v>1038</v>
      </c>
      <c r="D17" s="243"/>
      <c r="E17" s="243" t="s">
        <v>1039</v>
      </c>
      <c r="F17" s="243" t="s">
        <v>1034</v>
      </c>
      <c r="G17" s="243" t="s">
        <v>1036</v>
      </c>
      <c r="H17" s="243"/>
      <c r="I17" s="142">
        <f t="shared" si="1"/>
        <v>0</v>
      </c>
    </row>
    <row r="18" spans="2:9">
      <c r="B18" s="267" t="s">
        <v>774</v>
      </c>
      <c r="C18" s="243"/>
      <c r="D18" s="243" t="s">
        <v>1035</v>
      </c>
      <c r="E18" s="243" t="s">
        <v>1040</v>
      </c>
      <c r="F18" s="243"/>
      <c r="G18" s="243" t="s">
        <v>1034</v>
      </c>
      <c r="H18" s="243" t="s">
        <v>1039</v>
      </c>
      <c r="I18" s="142">
        <f t="shared" si="1"/>
        <v>0</v>
      </c>
    </row>
    <row r="19" spans="2:9">
      <c r="B19" s="267" t="s">
        <v>778</v>
      </c>
      <c r="C19" s="243" t="s">
        <v>1034</v>
      </c>
      <c r="D19" s="243" t="s">
        <v>1036</v>
      </c>
      <c r="E19" s="243"/>
      <c r="F19" s="243" t="s">
        <v>1038</v>
      </c>
      <c r="G19" s="243"/>
      <c r="H19" s="243" t="s">
        <v>1039</v>
      </c>
      <c r="I19" s="142">
        <f t="shared" si="1"/>
        <v>0</v>
      </c>
    </row>
    <row r="20" spans="2:9">
      <c r="B20" s="267" t="s">
        <v>783</v>
      </c>
      <c r="C20" s="243" t="s">
        <v>1037</v>
      </c>
      <c r="D20" s="243" t="s">
        <v>1039</v>
      </c>
      <c r="E20" s="243" t="s">
        <v>1038</v>
      </c>
      <c r="F20" s="243"/>
      <c r="G20" s="243" t="s">
        <v>1035</v>
      </c>
      <c r="H20" s="243" t="s">
        <v>1040</v>
      </c>
      <c r="I20" s="142">
        <f t="shared" si="1"/>
        <v>0</v>
      </c>
    </row>
    <row r="21" spans="2:9">
      <c r="B21" s="267" t="s">
        <v>784</v>
      </c>
      <c r="C21" s="243"/>
      <c r="D21" s="243" t="s">
        <v>1034</v>
      </c>
      <c r="E21" s="243" t="s">
        <v>1039</v>
      </c>
      <c r="F21" s="243" t="s">
        <v>1034</v>
      </c>
      <c r="G21" s="243" t="s">
        <v>1036</v>
      </c>
      <c r="H21" s="243"/>
      <c r="I21" s="142">
        <f t="shared" si="1"/>
        <v>0</v>
      </c>
    </row>
    <row r="22" spans="2:9">
      <c r="B22" s="267" t="s">
        <v>785</v>
      </c>
      <c r="C22" s="243" t="s">
        <v>1038</v>
      </c>
      <c r="D22" s="243"/>
      <c r="E22" s="243" t="s">
        <v>1039</v>
      </c>
      <c r="F22" s="243"/>
      <c r="G22" s="243"/>
      <c r="H22" s="243"/>
      <c r="I22" s="142">
        <f t="shared" si="1"/>
        <v>0</v>
      </c>
    </row>
    <row r="23" spans="2:9">
      <c r="B23" s="267" t="s">
        <v>790</v>
      </c>
      <c r="C23" s="243"/>
      <c r="D23" s="243" t="s">
        <v>1035</v>
      </c>
      <c r="E23" s="243" t="s">
        <v>1040</v>
      </c>
      <c r="F23" s="243" t="s">
        <v>1037</v>
      </c>
      <c r="G23" s="243" t="s">
        <v>1039</v>
      </c>
      <c r="H23" s="243" t="s">
        <v>1038</v>
      </c>
      <c r="I23" s="142">
        <f t="shared" si="1"/>
        <v>0</v>
      </c>
    </row>
    <row r="24" spans="2:9">
      <c r="B24" s="267" t="s">
        <v>791</v>
      </c>
      <c r="C24" s="243" t="s">
        <v>1034</v>
      </c>
      <c r="D24" s="243" t="s">
        <v>1036</v>
      </c>
      <c r="E24" s="243"/>
      <c r="F24" s="243"/>
      <c r="G24" s="243" t="s">
        <v>1034</v>
      </c>
      <c r="H24" s="243" t="s">
        <v>1039</v>
      </c>
      <c r="I24" s="142">
        <f t="shared" si="1"/>
        <v>0</v>
      </c>
    </row>
    <row r="25" spans="2:9">
      <c r="B25" s="267" t="s">
        <v>795</v>
      </c>
      <c r="C25" s="243" t="s">
        <v>1037</v>
      </c>
      <c r="D25" s="243" t="s">
        <v>1039</v>
      </c>
      <c r="E25" s="243" t="s">
        <v>1038</v>
      </c>
      <c r="F25" s="243" t="s">
        <v>1038</v>
      </c>
      <c r="G25" s="243"/>
      <c r="H25" s="243" t="s">
        <v>1039</v>
      </c>
      <c r="I25" s="142">
        <f t="shared" si="1"/>
        <v>0</v>
      </c>
    </row>
    <row r="26" spans="2:9">
      <c r="B26" s="267" t="s">
        <v>796</v>
      </c>
      <c r="C26" s="243"/>
      <c r="D26" s="243" t="s">
        <v>1034</v>
      </c>
      <c r="E26" s="243" t="s">
        <v>1039</v>
      </c>
      <c r="F26" s="243"/>
      <c r="G26" s="243" t="s">
        <v>1035</v>
      </c>
      <c r="H26" s="243" t="s">
        <v>1040</v>
      </c>
      <c r="I26" s="142">
        <f t="shared" si="1"/>
        <v>0</v>
      </c>
    </row>
    <row r="27" spans="2:9">
      <c r="B27" s="267" t="s">
        <v>797</v>
      </c>
      <c r="C27" s="243" t="s">
        <v>1038</v>
      </c>
      <c r="D27" s="243"/>
      <c r="E27" s="243" t="s">
        <v>1039</v>
      </c>
      <c r="F27" s="243" t="s">
        <v>1034</v>
      </c>
      <c r="G27" s="243" t="s">
        <v>1036</v>
      </c>
      <c r="H27" s="243"/>
      <c r="I27" s="142">
        <f t="shared" si="1"/>
        <v>0</v>
      </c>
    </row>
    <row r="28" spans="2:9">
      <c r="B28" s="267" t="s">
        <v>798</v>
      </c>
      <c r="C28" s="243"/>
      <c r="D28" s="243" t="s">
        <v>1035</v>
      </c>
      <c r="E28" s="243" t="s">
        <v>1040</v>
      </c>
      <c r="F28" s="243"/>
      <c r="G28" s="243"/>
      <c r="H28" s="243"/>
      <c r="I28" s="142">
        <f t="shared" si="1"/>
        <v>0</v>
      </c>
    </row>
    <row r="29" spans="2:9">
      <c r="B29" s="267" t="s">
        <v>802</v>
      </c>
      <c r="C29" s="243" t="s">
        <v>1034</v>
      </c>
      <c r="D29" s="243" t="s">
        <v>1036</v>
      </c>
      <c r="E29" s="243"/>
      <c r="F29" s="243"/>
      <c r="G29" s="243"/>
      <c r="H29" s="243"/>
      <c r="I29" s="142">
        <f t="shared" si="1"/>
        <v>0</v>
      </c>
    </row>
    <row r="30" spans="2:9" ht="16.5" thickBot="1">
      <c r="B30" s="142" t="s">
        <v>1030</v>
      </c>
      <c r="C30" s="270">
        <f t="shared" ref="C30:H30" si="2">SUM(C8:C29)</f>
        <v>0</v>
      </c>
      <c r="D30" s="270">
        <f t="shared" si="2"/>
        <v>0</v>
      </c>
      <c r="E30" s="270">
        <f t="shared" si="2"/>
        <v>0</v>
      </c>
      <c r="F30" s="270">
        <f t="shared" si="2"/>
        <v>0</v>
      </c>
      <c r="G30" s="270">
        <f t="shared" si="2"/>
        <v>0</v>
      </c>
      <c r="H30" s="270">
        <f t="shared" si="2"/>
        <v>0</v>
      </c>
      <c r="I30" s="270">
        <f>SUM(C30:H30)</f>
        <v>0</v>
      </c>
    </row>
    <row r="31" spans="2:9" ht="16.5" thickTop="1"/>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F16"/>
  <sheetViews>
    <sheetView showGridLines="0" workbookViewId="0">
      <selection activeCell="F4" sqref="F4"/>
    </sheetView>
  </sheetViews>
  <sheetFormatPr defaultRowHeight="15.75"/>
  <cols>
    <col min="1" max="1" width="9.140625" style="142"/>
    <col min="2" max="2" width="24.5703125" style="142" customWidth="1"/>
    <col min="3" max="3" width="16" style="142" customWidth="1"/>
    <col min="4" max="4" width="24.5703125" style="142" customWidth="1"/>
    <col min="5" max="16384" width="9.140625" style="142"/>
  </cols>
  <sheetData>
    <row r="1" spans="1:6" ht="23.25">
      <c r="A1" s="33" t="s">
        <v>1046</v>
      </c>
      <c r="E1" s="638" t="s">
        <v>2056</v>
      </c>
    </row>
    <row r="3" spans="1:6">
      <c r="B3" s="463" t="s">
        <v>637</v>
      </c>
      <c r="C3" s="3"/>
      <c r="D3" s="463" t="s">
        <v>639</v>
      </c>
      <c r="F3" s="464" t="s">
        <v>1043</v>
      </c>
    </row>
    <row r="4" spans="1:6">
      <c r="B4" s="3"/>
      <c r="C4" s="3"/>
      <c r="D4" s="3"/>
    </row>
    <row r="5" spans="1:6">
      <c r="B5" s="422">
        <v>654</v>
      </c>
      <c r="C5" s="422"/>
      <c r="D5" s="422">
        <v>654</v>
      </c>
      <c r="F5" s="142" t="s">
        <v>1044</v>
      </c>
    </row>
    <row r="6" spans="1:6">
      <c r="B6" s="422">
        <v>8475</v>
      </c>
      <c r="C6" s="422"/>
      <c r="D6" s="422">
        <v>8475</v>
      </c>
      <c r="F6" s="142" t="s">
        <v>1045</v>
      </c>
    </row>
    <row r="7" spans="1:6">
      <c r="B7" s="422">
        <v>5676</v>
      </c>
      <c r="C7" s="422"/>
      <c r="D7" s="422">
        <v>5676</v>
      </c>
    </row>
    <row r="8" spans="1:6">
      <c r="B8" s="422">
        <v>865</v>
      </c>
      <c r="C8" s="422"/>
      <c r="D8" s="422">
        <v>865</v>
      </c>
    </row>
    <row r="9" spans="1:6">
      <c r="B9" s="422">
        <v>866</v>
      </c>
      <c r="C9" s="422"/>
      <c r="D9" s="422">
        <v>866</v>
      </c>
    </row>
    <row r="10" spans="1:6">
      <c r="B10" s="422">
        <v>6576</v>
      </c>
      <c r="C10" s="422"/>
      <c r="D10" s="422">
        <v>6576</v>
      </c>
    </row>
    <row r="11" spans="1:6">
      <c r="B11" s="422">
        <v>858</v>
      </c>
      <c r="C11" s="422"/>
      <c r="D11" s="422">
        <v>858</v>
      </c>
    </row>
    <row r="12" spans="1:6">
      <c r="B12" s="422">
        <v>457</v>
      </c>
      <c r="C12" s="422"/>
      <c r="D12" s="422">
        <v>457</v>
      </c>
    </row>
    <row r="13" spans="1:6" ht="16.5" thickBot="1">
      <c r="B13" s="465">
        <f>AVERAGE(B5,B6,B7,B8,B9,B10,B11,B12)</f>
        <v>3053.375</v>
      </c>
      <c r="C13" s="422"/>
      <c r="D13" s="465">
        <f>AVERAGE(D5:D12)</f>
        <v>3053.375</v>
      </c>
    </row>
    <row r="14" spans="1:6" ht="16.5" thickTop="1">
      <c r="B14" s="3"/>
      <c r="C14" s="422"/>
      <c r="D14" s="3"/>
    </row>
    <row r="15" spans="1:6" ht="16.5" thickBot="1">
      <c r="B15" s="465" t="s">
        <v>1042</v>
      </c>
      <c r="C15" s="422"/>
      <c r="D15" s="465" t="s">
        <v>1041</v>
      </c>
    </row>
    <row r="16" spans="1:6" ht="16.5" thickTop="1"/>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H38"/>
  <sheetViews>
    <sheetView showGridLines="0" workbookViewId="0">
      <selection activeCell="F4" sqref="F4"/>
    </sheetView>
  </sheetViews>
  <sheetFormatPr defaultRowHeight="15.75"/>
  <cols>
    <col min="1" max="1" width="3.85546875" style="142" customWidth="1"/>
    <col min="2" max="2" width="33.85546875" style="142" customWidth="1"/>
    <col min="3" max="8" width="15.140625" style="142" customWidth="1"/>
    <col min="9" max="16384" width="9.140625" style="142"/>
  </cols>
  <sheetData>
    <row r="1" spans="1:8" ht="23.25">
      <c r="A1" s="33" t="s">
        <v>1047</v>
      </c>
      <c r="E1" s="638" t="s">
        <v>2056</v>
      </c>
      <c r="G1" s="374">
        <f>COUNTBLANK(C8:H36)</f>
        <v>17</v>
      </c>
    </row>
    <row r="2" spans="1:8" ht="23.25">
      <c r="A2" s="33"/>
    </row>
    <row r="3" spans="1:8" ht="23.25">
      <c r="A3" s="33"/>
    </row>
    <row r="5" spans="1:8" ht="21">
      <c r="C5" s="650" t="s">
        <v>1048</v>
      </c>
      <c r="D5" s="650"/>
      <c r="E5" s="650"/>
      <c r="F5" s="650"/>
      <c r="G5" s="650"/>
      <c r="H5" s="650"/>
    </row>
    <row r="6" spans="1:8" ht="16.5" thickBot="1">
      <c r="C6" s="458" t="s">
        <v>102</v>
      </c>
      <c r="D6" s="458" t="s">
        <v>103</v>
      </c>
      <c r="E6" s="458" t="s">
        <v>104</v>
      </c>
      <c r="F6" s="458" t="s">
        <v>708</v>
      </c>
      <c r="G6" s="458" t="s">
        <v>709</v>
      </c>
      <c r="H6" s="458" t="s">
        <v>710</v>
      </c>
    </row>
    <row r="7" spans="1:8">
      <c r="B7" s="152" t="s">
        <v>707</v>
      </c>
      <c r="C7" s="459"/>
      <c r="D7" s="459"/>
      <c r="E7" s="459"/>
      <c r="F7" s="459"/>
      <c r="G7" s="459"/>
      <c r="H7" s="459"/>
    </row>
    <row r="8" spans="1:8">
      <c r="B8" s="158" t="s">
        <v>1049</v>
      </c>
      <c r="C8" s="460">
        <v>2139.5500000000002</v>
      </c>
      <c r="D8" s="461">
        <v>2674.4375</v>
      </c>
      <c r="E8" s="461">
        <v>3476.7687500000002</v>
      </c>
      <c r="F8" s="460">
        <v>2139.5500000000002</v>
      </c>
      <c r="G8" s="461">
        <v>2674.4375</v>
      </c>
      <c r="H8" s="461">
        <v>3476.7687500000002</v>
      </c>
    </row>
    <row r="9" spans="1:8">
      <c r="B9" s="158" t="s">
        <v>1050</v>
      </c>
      <c r="C9" s="460">
        <v>37.340000000000003</v>
      </c>
      <c r="D9" s="461">
        <v>48.542000000000009</v>
      </c>
      <c r="E9" s="461">
        <v>60.677500000000009</v>
      </c>
      <c r="F9" s="460">
        <v>37.340000000000003</v>
      </c>
      <c r="G9" s="461">
        <v>48.542000000000009</v>
      </c>
      <c r="H9" s="461">
        <v>60.677500000000009</v>
      </c>
    </row>
    <row r="10" spans="1:8">
      <c r="B10" s="158" t="s">
        <v>1051</v>
      </c>
      <c r="C10" s="460">
        <v>400</v>
      </c>
      <c r="D10" s="461">
        <v>500</v>
      </c>
      <c r="E10" s="461"/>
      <c r="F10" s="460">
        <v>400</v>
      </c>
      <c r="G10" s="461">
        <v>500</v>
      </c>
      <c r="H10" s="461">
        <v>650</v>
      </c>
    </row>
    <row r="11" spans="1:8">
      <c r="B11" s="158" t="s">
        <v>1052</v>
      </c>
      <c r="C11" s="460">
        <v>26654.799999999999</v>
      </c>
      <c r="D11" s="461">
        <v>34651.24</v>
      </c>
      <c r="E11" s="461">
        <v>43314.049999999996</v>
      </c>
      <c r="F11" s="460">
        <v>26654.799999999999</v>
      </c>
      <c r="G11" s="461">
        <v>34651.24</v>
      </c>
      <c r="H11" s="461">
        <v>43314.049999999996</v>
      </c>
    </row>
    <row r="12" spans="1:8">
      <c r="B12" s="158" t="s">
        <v>1053</v>
      </c>
      <c r="C12" s="460">
        <v>1282.53</v>
      </c>
      <c r="D12" s="461">
        <v>1603.1624999999999</v>
      </c>
      <c r="E12" s="461">
        <v>2084.1112499999999</v>
      </c>
      <c r="F12" s="460">
        <v>1282.53</v>
      </c>
      <c r="G12" s="461">
        <v>1603.1624999999999</v>
      </c>
      <c r="H12" s="461">
        <v>2084.1112499999999</v>
      </c>
    </row>
    <row r="13" spans="1:8">
      <c r="B13" s="158" t="s">
        <v>1054</v>
      </c>
      <c r="C13" s="460">
        <v>6051.13</v>
      </c>
      <c r="D13" s="461">
        <v>7866.4690000000001</v>
      </c>
      <c r="E13" s="461">
        <v>9833.0862500000003</v>
      </c>
      <c r="F13" s="460">
        <v>6051.13</v>
      </c>
      <c r="G13" s="461">
        <v>7866.4690000000001</v>
      </c>
      <c r="H13" s="461">
        <v>9833.0862500000003</v>
      </c>
    </row>
    <row r="14" spans="1:8">
      <c r="B14" s="158" t="s">
        <v>1055</v>
      </c>
      <c r="C14" s="460"/>
      <c r="D14" s="461">
        <v>463.69999999999993</v>
      </c>
      <c r="E14" s="461">
        <v>602.80999999999995</v>
      </c>
      <c r="F14" s="460">
        <v>370.96</v>
      </c>
      <c r="G14" s="461">
        <v>463.69999999999993</v>
      </c>
      <c r="H14" s="461">
        <v>602.80999999999995</v>
      </c>
    </row>
    <row r="15" spans="1:8">
      <c r="B15" s="158" t="s">
        <v>1056</v>
      </c>
      <c r="C15" s="460">
        <v>65.41</v>
      </c>
      <c r="D15" s="461">
        <v>85.033000000000001</v>
      </c>
      <c r="E15" s="461">
        <v>106.29124999999999</v>
      </c>
      <c r="F15" s="460">
        <v>65.41</v>
      </c>
      <c r="G15" s="461"/>
      <c r="H15" s="461">
        <v>106.29124999999999</v>
      </c>
    </row>
    <row r="16" spans="1:8">
      <c r="B16" s="158" t="s">
        <v>1057</v>
      </c>
      <c r="C16" s="460">
        <v>3950.05</v>
      </c>
      <c r="D16" s="461">
        <v>4937.5625</v>
      </c>
      <c r="E16" s="461">
        <v>6418.8312500000002</v>
      </c>
      <c r="F16" s="460">
        <v>3950.05</v>
      </c>
      <c r="G16" s="461">
        <v>4937.5625</v>
      </c>
      <c r="H16" s="461">
        <v>6418.8312500000002</v>
      </c>
    </row>
    <row r="17" spans="2:8">
      <c r="B17" s="158" t="s">
        <v>1058</v>
      </c>
      <c r="C17" s="460">
        <v>11697</v>
      </c>
      <c r="D17" s="461">
        <v>15206.1</v>
      </c>
      <c r="E17" s="461">
        <v>19007.625</v>
      </c>
      <c r="F17" s="460">
        <v>11697</v>
      </c>
      <c r="G17" s="461">
        <v>15206.1</v>
      </c>
      <c r="H17" s="461">
        <v>19007.625</v>
      </c>
    </row>
    <row r="18" spans="2:8">
      <c r="B18" s="158" t="s">
        <v>1059</v>
      </c>
      <c r="C18" s="460">
        <v>1184.8699999999999</v>
      </c>
      <c r="D18" s="461">
        <v>1481.0874999999999</v>
      </c>
      <c r="E18" s="461">
        <v>1925.4137499999999</v>
      </c>
      <c r="F18" s="460">
        <v>1184.8699999999999</v>
      </c>
      <c r="G18" s="461">
        <v>1481.0874999999999</v>
      </c>
      <c r="H18" s="461">
        <v>1925.4137499999999</v>
      </c>
    </row>
    <row r="19" spans="2:8">
      <c r="B19" s="158" t="s">
        <v>1060</v>
      </c>
      <c r="C19" s="460">
        <v>90</v>
      </c>
      <c r="D19" s="461">
        <v>117</v>
      </c>
      <c r="E19" s="461">
        <v>146.25</v>
      </c>
      <c r="F19" s="460">
        <v>90</v>
      </c>
      <c r="G19" s="461">
        <v>117</v>
      </c>
      <c r="H19" s="461">
        <v>146.25</v>
      </c>
    </row>
    <row r="20" spans="2:8">
      <c r="B20" s="158" t="s">
        <v>1061</v>
      </c>
      <c r="C20" s="460">
        <v>21010.25</v>
      </c>
      <c r="D20" s="461">
        <v>26262.8125</v>
      </c>
      <c r="E20" s="461">
        <v>34141.65625</v>
      </c>
      <c r="F20" s="460">
        <v>21010.25</v>
      </c>
      <c r="G20" s="461"/>
      <c r="H20" s="461">
        <v>34141.65625</v>
      </c>
    </row>
    <row r="21" spans="2:8">
      <c r="B21" s="158" t="s">
        <v>1062</v>
      </c>
      <c r="C21" s="460">
        <v>6861.83</v>
      </c>
      <c r="D21" s="461">
        <v>8920.3790000000008</v>
      </c>
      <c r="E21" s="461">
        <v>11150.473750000001</v>
      </c>
      <c r="F21" s="460">
        <v>6861.83</v>
      </c>
      <c r="G21" s="461">
        <v>8920.3790000000008</v>
      </c>
      <c r="H21" s="461">
        <v>11150.473750000001</v>
      </c>
    </row>
    <row r="22" spans="2:8">
      <c r="B22" s="158" t="s">
        <v>1063</v>
      </c>
      <c r="C22" s="460">
        <v>5789.74</v>
      </c>
      <c r="D22" s="461">
        <v>7237.1749999999993</v>
      </c>
      <c r="E22" s="461">
        <v>9408.3274999999994</v>
      </c>
      <c r="F22" s="460">
        <v>5789.74</v>
      </c>
      <c r="G22" s="461">
        <v>7237.1749999999993</v>
      </c>
      <c r="H22" s="461">
        <v>9408.3274999999994</v>
      </c>
    </row>
    <row r="23" spans="2:8">
      <c r="B23" s="158" t="s">
        <v>1064</v>
      </c>
      <c r="C23" s="460">
        <v>391.5</v>
      </c>
      <c r="D23" s="461">
        <v>508.95000000000005</v>
      </c>
      <c r="E23" s="461"/>
      <c r="F23" s="460">
        <v>391.5</v>
      </c>
      <c r="G23" s="461">
        <v>508.95000000000005</v>
      </c>
      <c r="H23" s="461"/>
    </row>
    <row r="24" spans="2:8">
      <c r="B24" s="158" t="s">
        <v>1065</v>
      </c>
      <c r="C24" s="460">
        <v>172000</v>
      </c>
      <c r="D24" s="461">
        <v>215000</v>
      </c>
      <c r="E24" s="461">
        <v>279500</v>
      </c>
      <c r="F24" s="460">
        <v>172000</v>
      </c>
      <c r="G24" s="461">
        <v>215000</v>
      </c>
      <c r="H24" s="461">
        <v>279500</v>
      </c>
    </row>
    <row r="25" spans="2:8">
      <c r="B25" s="158" t="s">
        <v>1066</v>
      </c>
      <c r="C25" s="460"/>
      <c r="D25" s="461">
        <v>-27.742000000000001</v>
      </c>
      <c r="E25" s="461">
        <v>-34.677500000000002</v>
      </c>
      <c r="F25" s="460">
        <v>-21.34</v>
      </c>
      <c r="G25" s="461">
        <v>-27.742000000000001</v>
      </c>
      <c r="H25" s="461">
        <v>-34.677500000000002</v>
      </c>
    </row>
    <row r="26" spans="2:8">
      <c r="B26" s="158" t="s">
        <v>1067</v>
      </c>
      <c r="C26" s="460">
        <v>1261.22</v>
      </c>
      <c r="D26" s="461">
        <v>1576.5249999999999</v>
      </c>
      <c r="E26" s="461">
        <v>2049.4825000000001</v>
      </c>
      <c r="F26" s="460">
        <v>1261.22</v>
      </c>
      <c r="G26" s="461">
        <v>1576.5249999999999</v>
      </c>
      <c r="H26" s="461">
        <v>2049.4825000000001</v>
      </c>
    </row>
    <row r="27" spans="2:8">
      <c r="B27" s="158" t="s">
        <v>1068</v>
      </c>
      <c r="C27" s="460">
        <v>43575.12</v>
      </c>
      <c r="D27" s="461">
        <v>56647.656000000003</v>
      </c>
      <c r="E27" s="461"/>
      <c r="F27" s="460">
        <v>43575.12</v>
      </c>
      <c r="G27" s="461">
        <v>56647.656000000003</v>
      </c>
      <c r="H27" s="461">
        <v>70809.569999999992</v>
      </c>
    </row>
    <row r="28" spans="2:8">
      <c r="B28" s="158" t="s">
        <v>1069</v>
      </c>
      <c r="C28" s="460">
        <v>13850</v>
      </c>
      <c r="D28" s="461">
        <v>17312.5</v>
      </c>
      <c r="E28" s="461">
        <v>22506.25</v>
      </c>
      <c r="F28" s="460">
        <v>13850</v>
      </c>
      <c r="G28" s="461">
        <v>17312.5</v>
      </c>
      <c r="H28" s="461">
        <v>22506.25</v>
      </c>
    </row>
    <row r="29" spans="2:8">
      <c r="B29" s="158" t="s">
        <v>1070</v>
      </c>
      <c r="C29" s="460">
        <v>595</v>
      </c>
      <c r="D29" s="461">
        <v>773.5</v>
      </c>
      <c r="E29" s="461">
        <v>966.875</v>
      </c>
      <c r="F29" s="460">
        <v>595</v>
      </c>
      <c r="G29" s="461">
        <v>773.5</v>
      </c>
      <c r="H29" s="461">
        <v>966.875</v>
      </c>
    </row>
    <row r="30" spans="2:8">
      <c r="B30" s="158" t="s">
        <v>1071</v>
      </c>
      <c r="C30" s="460">
        <v>13213.44</v>
      </c>
      <c r="D30" s="461">
        <v>16516.8</v>
      </c>
      <c r="E30" s="461">
        <v>21471.84</v>
      </c>
      <c r="F30" s="460">
        <v>13213.44</v>
      </c>
      <c r="G30" s="461">
        <v>16516.8</v>
      </c>
      <c r="H30" s="461">
        <v>21471.84</v>
      </c>
    </row>
    <row r="31" spans="2:8">
      <c r="B31" s="158" t="s">
        <v>1072</v>
      </c>
      <c r="C31" s="460">
        <v>191.27</v>
      </c>
      <c r="D31" s="461">
        <v>248.65100000000001</v>
      </c>
      <c r="E31" s="461">
        <v>310.81374999999997</v>
      </c>
      <c r="F31" s="460">
        <v>191.27</v>
      </c>
      <c r="G31" s="461">
        <v>248.65100000000001</v>
      </c>
      <c r="H31" s="461"/>
    </row>
    <row r="32" spans="2:8">
      <c r="B32" s="158" t="s">
        <v>1073</v>
      </c>
      <c r="C32" s="460">
        <v>911.66</v>
      </c>
      <c r="D32" s="461"/>
      <c r="E32" s="461">
        <v>1481.4474999999998</v>
      </c>
      <c r="F32" s="460">
        <v>911.66</v>
      </c>
      <c r="G32" s="461">
        <v>1139.5749999999998</v>
      </c>
      <c r="H32" s="461">
        <v>1481.4474999999998</v>
      </c>
    </row>
    <row r="33" spans="2:8">
      <c r="B33" s="158" t="s">
        <v>1074</v>
      </c>
      <c r="C33" s="460">
        <v>4113.07</v>
      </c>
      <c r="D33" s="461">
        <v>5346.991</v>
      </c>
      <c r="E33" s="461">
        <v>6683.7387499999995</v>
      </c>
      <c r="F33" s="460">
        <v>4113.07</v>
      </c>
      <c r="G33" s="461">
        <v>5346.991</v>
      </c>
      <c r="H33" s="461">
        <v>6683.7387499999995</v>
      </c>
    </row>
    <row r="34" spans="2:8">
      <c r="B34" s="158" t="s">
        <v>1075</v>
      </c>
      <c r="C34" s="340">
        <v>500</v>
      </c>
      <c r="D34" s="332">
        <v>650</v>
      </c>
      <c r="E34" s="332">
        <v>812.5</v>
      </c>
      <c r="F34" s="340">
        <v>500</v>
      </c>
      <c r="G34" s="332">
        <v>650</v>
      </c>
      <c r="H34" s="461">
        <v>812.5</v>
      </c>
    </row>
    <row r="35" spans="2:8">
      <c r="B35" s="158" t="s">
        <v>176</v>
      </c>
      <c r="C35" s="340">
        <v>200</v>
      </c>
      <c r="D35" s="332">
        <v>250</v>
      </c>
      <c r="E35" s="332">
        <v>325</v>
      </c>
      <c r="F35" s="340"/>
      <c r="G35" s="332">
        <v>250</v>
      </c>
      <c r="H35" s="461">
        <v>325</v>
      </c>
    </row>
    <row r="36" spans="2:8">
      <c r="B36" s="165" t="s">
        <v>723</v>
      </c>
      <c r="C36" s="461"/>
      <c r="D36" s="461"/>
      <c r="E36" s="461"/>
    </row>
    <row r="37" spans="2:8" ht="16.5" thickBot="1">
      <c r="B37" s="165" t="s">
        <v>1076</v>
      </c>
      <c r="C37" s="462">
        <f>SUM(C8:C33)</f>
        <v>337316.78</v>
      </c>
      <c r="D37" s="462">
        <f t="shared" ref="D37:H37" si="0">SUM(D8:D33)</f>
        <v>425958.53149999998</v>
      </c>
      <c r="E37" s="462">
        <f t="shared" si="0"/>
        <v>476612.14250000002</v>
      </c>
      <c r="F37" s="462">
        <f t="shared" si="0"/>
        <v>337666.4</v>
      </c>
      <c r="G37" s="462">
        <f t="shared" si="0"/>
        <v>400750.261</v>
      </c>
      <c r="H37" s="462">
        <f t="shared" si="0"/>
        <v>547760.89875000005</v>
      </c>
    </row>
    <row r="38" spans="2:8" ht="16.5" thickTop="1"/>
  </sheetData>
  <mergeCells count="1">
    <mergeCell ref="C5:H5"/>
  </mergeCells>
  <conditionalFormatting sqref="B7 B9:B37 C6:H37">
    <cfRule type="expression" dxfId="11" priority="2" stopIfTrue="1">
      <formula>"istext(b3:i34)"</formula>
    </cfRule>
  </conditionalFormatting>
  <conditionalFormatting sqref="B8">
    <cfRule type="expression" dxfId="10" priority="1" stopIfTrue="1">
      <formula>"istext(b3)"</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122"/>
  <sheetViews>
    <sheetView showGridLines="0" topLeftCell="A67" zoomScaleNormal="100" workbookViewId="0">
      <selection activeCell="F4" sqref="F4"/>
    </sheetView>
  </sheetViews>
  <sheetFormatPr defaultRowHeight="15.75"/>
  <cols>
    <col min="1" max="1" width="12.85546875" style="142" customWidth="1"/>
    <col min="2" max="2" width="9" style="142" bestFit="1" customWidth="1"/>
    <col min="3" max="3" width="8" style="142" bestFit="1" customWidth="1"/>
    <col min="4" max="4" width="9.85546875" style="142" bestFit="1" customWidth="1"/>
    <col min="5" max="5" width="22.7109375" style="142" customWidth="1"/>
    <col min="6" max="6" width="31.28515625" style="142" customWidth="1"/>
    <col min="7" max="7" width="28.7109375" style="142" customWidth="1"/>
    <col min="8" max="8" width="15.28515625" style="142" bestFit="1" customWidth="1"/>
    <col min="9" max="9" width="31.5703125" style="142" bestFit="1" customWidth="1"/>
    <col min="10" max="16384" width="9.140625" style="142"/>
  </cols>
  <sheetData>
    <row r="1" spans="1:10" ht="23.25">
      <c r="A1" s="33" t="s">
        <v>249</v>
      </c>
      <c r="D1" s="142" t="s">
        <v>1079</v>
      </c>
      <c r="E1" s="638" t="s">
        <v>2056</v>
      </c>
      <c r="F1" s="175">
        <f>COUNTIF($F$6:$F$120,"")</f>
        <v>53</v>
      </c>
    </row>
    <row r="2" spans="1:10" ht="23.25">
      <c r="A2" s="33"/>
      <c r="D2" s="142" t="s">
        <v>1080</v>
      </c>
      <c r="F2" s="175">
        <f>COUNTIF($C$6:$C$120,"Sale")</f>
        <v>57</v>
      </c>
    </row>
    <row r="3" spans="1:10">
      <c r="D3" s="142" t="s">
        <v>1081</v>
      </c>
      <c r="F3" s="175">
        <f>COUNTIF($C$6:$C$120,"Service")</f>
        <v>31</v>
      </c>
    </row>
    <row r="4" spans="1:10">
      <c r="D4" s="142" t="s">
        <v>1082</v>
      </c>
      <c r="F4" s="175">
        <f>COUNTIF($C$6:$C$120,"Support")</f>
        <v>27</v>
      </c>
    </row>
    <row r="5" spans="1:10" s="456" customFormat="1" ht="32.25" thickBot="1">
      <c r="A5" s="255" t="s">
        <v>1016</v>
      </c>
      <c r="B5" s="255" t="s">
        <v>725</v>
      </c>
      <c r="C5" s="255" t="s">
        <v>264</v>
      </c>
      <c r="D5" s="454" t="s">
        <v>1020</v>
      </c>
      <c r="E5" s="255" t="s">
        <v>726</v>
      </c>
      <c r="F5" s="255" t="s">
        <v>182</v>
      </c>
      <c r="G5" s="255" t="s">
        <v>175</v>
      </c>
      <c r="H5" s="255" t="s">
        <v>184</v>
      </c>
      <c r="I5" s="255" t="s">
        <v>1015</v>
      </c>
      <c r="J5" s="455"/>
    </row>
    <row r="6" spans="1:10">
      <c r="A6" s="254">
        <v>40293</v>
      </c>
      <c r="B6" s="142">
        <v>3245</v>
      </c>
      <c r="C6" s="142" t="s">
        <v>1017</v>
      </c>
      <c r="D6" s="457">
        <v>3445</v>
      </c>
      <c r="E6" s="267" t="s">
        <v>727</v>
      </c>
      <c r="F6" s="267" t="s">
        <v>728</v>
      </c>
      <c r="G6" s="267" t="s">
        <v>729</v>
      </c>
      <c r="H6" s="267" t="s">
        <v>730</v>
      </c>
      <c r="I6" s="267"/>
      <c r="J6" s="432"/>
    </row>
    <row r="7" spans="1:10">
      <c r="A7" s="254">
        <v>40294</v>
      </c>
      <c r="B7" s="142">
        <v>3246</v>
      </c>
      <c r="C7" s="142" t="s">
        <v>1018</v>
      </c>
      <c r="D7" s="457">
        <v>545</v>
      </c>
      <c r="E7" s="267" t="s">
        <v>731</v>
      </c>
      <c r="F7" s="267" t="s">
        <v>732</v>
      </c>
      <c r="G7" s="267" t="s">
        <v>733</v>
      </c>
      <c r="H7" s="267" t="s">
        <v>734</v>
      </c>
      <c r="I7" s="267" t="s">
        <v>735</v>
      </c>
      <c r="J7" s="432"/>
    </row>
    <row r="8" spans="1:10">
      <c r="A8" s="254">
        <v>40295</v>
      </c>
      <c r="B8" s="142">
        <v>3247</v>
      </c>
      <c r="C8" s="142" t="s">
        <v>1019</v>
      </c>
      <c r="D8" s="457">
        <v>600</v>
      </c>
      <c r="E8" s="267" t="s">
        <v>736</v>
      </c>
      <c r="F8" s="267"/>
      <c r="G8" s="267"/>
      <c r="H8" s="267"/>
      <c r="I8" s="267"/>
      <c r="J8" s="432"/>
    </row>
    <row r="9" spans="1:10">
      <c r="A9" s="254">
        <v>40296</v>
      </c>
      <c r="B9" s="142">
        <v>3248</v>
      </c>
      <c r="C9" s="142" t="s">
        <v>1017</v>
      </c>
      <c r="D9" s="457">
        <v>7445</v>
      </c>
      <c r="E9" s="267" t="s">
        <v>737</v>
      </c>
      <c r="F9" s="267"/>
      <c r="G9" s="267"/>
      <c r="H9" s="267"/>
      <c r="I9" s="267"/>
      <c r="J9" s="432"/>
    </row>
    <row r="10" spans="1:10">
      <c r="A10" s="254">
        <v>40297</v>
      </c>
      <c r="B10" s="142">
        <v>3249</v>
      </c>
      <c r="C10" s="142" t="s">
        <v>1017</v>
      </c>
      <c r="D10" s="457">
        <v>2546</v>
      </c>
      <c r="E10" s="267" t="s">
        <v>738</v>
      </c>
      <c r="F10" s="267"/>
      <c r="G10" s="267"/>
      <c r="H10" s="267"/>
      <c r="I10" s="267"/>
      <c r="J10" s="432"/>
    </row>
    <row r="11" spans="1:10">
      <c r="A11" s="254">
        <v>40298</v>
      </c>
      <c r="B11" s="142">
        <v>3250</v>
      </c>
      <c r="C11" s="142" t="s">
        <v>1018</v>
      </c>
      <c r="D11" s="457">
        <v>354</v>
      </c>
      <c r="E11" s="267" t="s">
        <v>739</v>
      </c>
      <c r="F11" s="267"/>
      <c r="G11" s="267"/>
      <c r="H11" s="267"/>
      <c r="I11" s="267"/>
      <c r="J11" s="432"/>
    </row>
    <row r="12" spans="1:10">
      <c r="A12" s="254">
        <v>40301</v>
      </c>
      <c r="B12" s="142">
        <v>3251</v>
      </c>
      <c r="C12" s="142" t="s">
        <v>1019</v>
      </c>
      <c r="D12" s="457">
        <v>1200</v>
      </c>
      <c r="E12" s="267" t="s">
        <v>740</v>
      </c>
      <c r="F12" s="267"/>
      <c r="G12" s="267"/>
      <c r="H12" s="267"/>
      <c r="I12" s="267"/>
      <c r="J12" s="432"/>
    </row>
    <row r="13" spans="1:10">
      <c r="A13" s="254">
        <v>40302</v>
      </c>
      <c r="B13" s="142">
        <v>3252</v>
      </c>
      <c r="C13" s="142" t="s">
        <v>1017</v>
      </c>
      <c r="D13" s="457">
        <v>665</v>
      </c>
      <c r="E13" s="267" t="s">
        <v>741</v>
      </c>
      <c r="F13" s="267" t="s">
        <v>742</v>
      </c>
      <c r="G13" s="267" t="s">
        <v>743</v>
      </c>
      <c r="H13" s="267" t="s">
        <v>744</v>
      </c>
      <c r="I13" s="267" t="s">
        <v>745</v>
      </c>
      <c r="J13" s="432"/>
    </row>
    <row r="14" spans="1:10">
      <c r="A14" s="254">
        <v>40305</v>
      </c>
      <c r="B14" s="142">
        <v>3253</v>
      </c>
      <c r="C14" s="142" t="s">
        <v>1017</v>
      </c>
      <c r="D14" s="457">
        <v>3466</v>
      </c>
      <c r="E14" s="267" t="s">
        <v>746</v>
      </c>
      <c r="F14" s="267" t="s">
        <v>747</v>
      </c>
      <c r="G14" s="268" t="s">
        <v>748</v>
      </c>
      <c r="H14" s="267" t="s">
        <v>749</v>
      </c>
      <c r="I14" s="267" t="s">
        <v>750</v>
      </c>
      <c r="J14" s="432"/>
    </row>
    <row r="15" spans="1:10">
      <c r="A15" s="254">
        <v>40308</v>
      </c>
      <c r="B15" s="142">
        <v>3254</v>
      </c>
      <c r="C15" s="142" t="s">
        <v>1018</v>
      </c>
      <c r="D15" s="457">
        <v>546</v>
      </c>
      <c r="E15" s="267" t="s">
        <v>751</v>
      </c>
      <c r="F15" s="267"/>
      <c r="G15" s="267"/>
      <c r="H15" s="267"/>
      <c r="I15" s="267"/>
      <c r="J15" s="432"/>
    </row>
    <row r="16" spans="1:10">
      <c r="A16" s="254">
        <v>40309</v>
      </c>
      <c r="B16" s="142">
        <v>3255</v>
      </c>
      <c r="C16" s="142" t="s">
        <v>1019</v>
      </c>
      <c r="D16" s="457">
        <v>600</v>
      </c>
      <c r="E16" s="267" t="s">
        <v>752</v>
      </c>
      <c r="F16" s="267" t="s">
        <v>753</v>
      </c>
      <c r="G16" s="267" t="s">
        <v>754</v>
      </c>
      <c r="H16" s="267" t="s">
        <v>755</v>
      </c>
      <c r="I16" s="267"/>
      <c r="J16" s="432"/>
    </row>
    <row r="17" spans="1:10">
      <c r="A17" s="254">
        <v>40310</v>
      </c>
      <c r="B17" s="142">
        <v>3256</v>
      </c>
      <c r="C17" s="142" t="s">
        <v>1017</v>
      </c>
      <c r="D17" s="457">
        <v>7764</v>
      </c>
      <c r="E17" s="267" t="s">
        <v>756</v>
      </c>
      <c r="F17" s="267"/>
      <c r="G17" s="267"/>
      <c r="H17" s="267"/>
      <c r="I17" s="267"/>
      <c r="J17" s="432"/>
    </row>
    <row r="18" spans="1:10">
      <c r="A18" s="254">
        <v>40312</v>
      </c>
      <c r="B18" s="142">
        <v>3257</v>
      </c>
      <c r="C18" s="142" t="s">
        <v>1017</v>
      </c>
      <c r="D18" s="457">
        <v>434</v>
      </c>
      <c r="E18" s="268" t="s">
        <v>757</v>
      </c>
      <c r="F18" s="267"/>
      <c r="G18" s="267" t="s">
        <v>758</v>
      </c>
      <c r="H18" s="267" t="s">
        <v>759</v>
      </c>
      <c r="I18" s="267"/>
      <c r="J18" s="432"/>
    </row>
    <row r="19" spans="1:10">
      <c r="A19" s="254">
        <v>40315</v>
      </c>
      <c r="B19" s="142">
        <v>3258</v>
      </c>
      <c r="C19" s="142" t="s">
        <v>1018</v>
      </c>
      <c r="D19" s="457">
        <v>866</v>
      </c>
      <c r="E19" s="267" t="s">
        <v>760</v>
      </c>
      <c r="F19" s="267" t="s">
        <v>761</v>
      </c>
      <c r="G19" s="267" t="s">
        <v>754</v>
      </c>
      <c r="H19" s="267" t="s">
        <v>762</v>
      </c>
      <c r="I19" s="267"/>
      <c r="J19" s="432"/>
    </row>
    <row r="20" spans="1:10">
      <c r="A20" s="254">
        <v>40316</v>
      </c>
      <c r="B20" s="142">
        <v>3259</v>
      </c>
      <c r="C20" s="142" t="s">
        <v>1019</v>
      </c>
      <c r="D20" s="457">
        <v>600</v>
      </c>
      <c r="E20" s="267" t="s">
        <v>763</v>
      </c>
      <c r="F20" s="267" t="s">
        <v>764</v>
      </c>
      <c r="G20" s="267" t="s">
        <v>765</v>
      </c>
      <c r="H20" s="267" t="s">
        <v>766</v>
      </c>
      <c r="I20" s="267" t="s">
        <v>767</v>
      </c>
      <c r="J20" s="432"/>
    </row>
    <row r="21" spans="1:10">
      <c r="A21" s="254">
        <v>40318</v>
      </c>
      <c r="B21" s="142">
        <v>3260</v>
      </c>
      <c r="C21" s="142" t="s">
        <v>1017</v>
      </c>
      <c r="D21" s="457">
        <v>5747</v>
      </c>
      <c r="E21" s="267" t="s">
        <v>768</v>
      </c>
      <c r="F21" s="267" t="s">
        <v>769</v>
      </c>
      <c r="G21" s="267" t="s">
        <v>770</v>
      </c>
      <c r="H21" s="267" t="s">
        <v>771</v>
      </c>
      <c r="I21" s="267"/>
      <c r="J21" s="432"/>
    </row>
    <row r="22" spans="1:10">
      <c r="A22" s="254">
        <v>40321</v>
      </c>
      <c r="B22" s="142">
        <v>3261</v>
      </c>
      <c r="C22" s="142" t="s">
        <v>1017</v>
      </c>
      <c r="D22" s="457">
        <v>577</v>
      </c>
      <c r="E22" s="267" t="s">
        <v>772</v>
      </c>
      <c r="F22" s="267"/>
      <c r="G22" s="267"/>
      <c r="H22" s="267"/>
      <c r="I22" s="267"/>
      <c r="J22" s="432"/>
    </row>
    <row r="23" spans="1:10">
      <c r="A23" s="254">
        <v>40322</v>
      </c>
      <c r="B23" s="142">
        <v>3262</v>
      </c>
      <c r="C23" s="142" t="s">
        <v>1018</v>
      </c>
      <c r="D23" s="457">
        <v>876</v>
      </c>
      <c r="E23" s="267" t="s">
        <v>773</v>
      </c>
      <c r="F23" s="267"/>
      <c r="G23" s="267"/>
      <c r="H23" s="267"/>
      <c r="I23" s="267"/>
      <c r="J23" s="432"/>
    </row>
    <row r="24" spans="1:10">
      <c r="A24" s="254">
        <v>40324</v>
      </c>
      <c r="B24" s="142">
        <v>3263</v>
      </c>
      <c r="C24" s="142" t="s">
        <v>1019</v>
      </c>
      <c r="D24" s="457">
        <v>1200</v>
      </c>
      <c r="E24" s="267" t="s">
        <v>774</v>
      </c>
      <c r="F24" s="267" t="s">
        <v>775</v>
      </c>
      <c r="G24" s="267" t="s">
        <v>776</v>
      </c>
      <c r="H24" s="267" t="s">
        <v>777</v>
      </c>
      <c r="I24" s="267"/>
      <c r="J24" s="432"/>
    </row>
    <row r="25" spans="1:10">
      <c r="A25" s="254">
        <v>40327</v>
      </c>
      <c r="B25" s="142">
        <v>3264</v>
      </c>
      <c r="C25" s="142" t="s">
        <v>1017</v>
      </c>
      <c r="D25" s="457">
        <v>8658</v>
      </c>
      <c r="E25" s="267" t="s">
        <v>778</v>
      </c>
      <c r="F25" s="267" t="s">
        <v>779</v>
      </c>
      <c r="G25" s="267" t="s">
        <v>780</v>
      </c>
      <c r="H25" s="268" t="s">
        <v>781</v>
      </c>
      <c r="I25" s="267" t="s">
        <v>782</v>
      </c>
      <c r="J25" s="432"/>
    </row>
    <row r="26" spans="1:10">
      <c r="A26" s="254">
        <v>40328</v>
      </c>
      <c r="B26" s="142">
        <v>3265</v>
      </c>
      <c r="C26" s="142" t="s">
        <v>1017</v>
      </c>
      <c r="D26" s="457">
        <v>4753</v>
      </c>
      <c r="E26" s="267" t="s">
        <v>783</v>
      </c>
      <c r="F26" s="267"/>
      <c r="G26" s="267"/>
      <c r="H26" s="267"/>
      <c r="I26" s="267"/>
      <c r="J26" s="432"/>
    </row>
    <row r="27" spans="1:10">
      <c r="A27" s="254">
        <v>40329</v>
      </c>
      <c r="B27" s="142">
        <v>3266</v>
      </c>
      <c r="C27" s="142" t="s">
        <v>1018</v>
      </c>
      <c r="D27" s="457">
        <v>975</v>
      </c>
      <c r="E27" s="267" t="s">
        <v>784</v>
      </c>
      <c r="F27" s="267"/>
      <c r="G27" s="267"/>
      <c r="H27" s="267"/>
      <c r="I27" s="267"/>
      <c r="J27" s="432"/>
    </row>
    <row r="28" spans="1:10">
      <c r="A28" s="254">
        <v>40331</v>
      </c>
      <c r="B28" s="142">
        <v>3267</v>
      </c>
      <c r="C28" s="142" t="s">
        <v>1019</v>
      </c>
      <c r="D28" s="457">
        <v>1800</v>
      </c>
      <c r="E28" s="267" t="s">
        <v>785</v>
      </c>
      <c r="F28" s="267" t="s">
        <v>786</v>
      </c>
      <c r="G28" s="267" t="s">
        <v>787</v>
      </c>
      <c r="H28" s="267" t="s">
        <v>788</v>
      </c>
      <c r="I28" s="267" t="s">
        <v>789</v>
      </c>
      <c r="J28" s="432"/>
    </row>
    <row r="29" spans="1:10">
      <c r="A29" s="254">
        <v>40333</v>
      </c>
      <c r="B29" s="142">
        <v>3268</v>
      </c>
      <c r="C29" s="142" t="s">
        <v>1017</v>
      </c>
      <c r="D29" s="457">
        <v>754</v>
      </c>
      <c r="E29" s="267" t="s">
        <v>790</v>
      </c>
      <c r="F29" s="267"/>
      <c r="G29" s="267"/>
      <c r="H29" s="267"/>
      <c r="I29" s="267"/>
      <c r="J29" s="432"/>
    </row>
    <row r="30" spans="1:10">
      <c r="A30" s="254">
        <v>40334</v>
      </c>
      <c r="B30" s="142">
        <v>3269</v>
      </c>
      <c r="C30" s="142" t="s">
        <v>1017</v>
      </c>
      <c r="D30" s="457">
        <v>3678</v>
      </c>
      <c r="E30" s="267" t="s">
        <v>791</v>
      </c>
      <c r="F30" s="267" t="s">
        <v>792</v>
      </c>
      <c r="G30" s="267" t="s">
        <v>793</v>
      </c>
      <c r="H30" s="267" t="s">
        <v>794</v>
      </c>
      <c r="I30" s="267"/>
      <c r="J30" s="432"/>
    </row>
    <row r="31" spans="1:10">
      <c r="A31" s="254">
        <v>40335</v>
      </c>
      <c r="B31" s="142">
        <v>3270</v>
      </c>
      <c r="C31" s="142" t="s">
        <v>1018</v>
      </c>
      <c r="D31" s="457">
        <v>54</v>
      </c>
      <c r="E31" s="267" t="s">
        <v>795</v>
      </c>
      <c r="F31" s="267"/>
      <c r="G31" s="267"/>
      <c r="H31" s="267"/>
      <c r="I31" s="267"/>
      <c r="J31" s="432"/>
    </row>
    <row r="32" spans="1:10">
      <c r="A32" s="254">
        <v>40336</v>
      </c>
      <c r="B32" s="142">
        <v>3271</v>
      </c>
      <c r="C32" s="142" t="s">
        <v>1019</v>
      </c>
      <c r="D32" s="457">
        <v>600</v>
      </c>
      <c r="E32" s="267" t="s">
        <v>796</v>
      </c>
      <c r="F32" s="267"/>
      <c r="G32" s="267"/>
      <c r="H32" s="267"/>
      <c r="I32" s="267"/>
      <c r="J32" s="432"/>
    </row>
    <row r="33" spans="1:10">
      <c r="A33" s="254">
        <v>40338</v>
      </c>
      <c r="B33" s="142">
        <v>3272</v>
      </c>
      <c r="C33" s="142" t="s">
        <v>1017</v>
      </c>
      <c r="D33" s="457">
        <v>754</v>
      </c>
      <c r="E33" s="267" t="s">
        <v>797</v>
      </c>
      <c r="F33" s="267"/>
      <c r="G33" s="267"/>
      <c r="H33" s="267"/>
      <c r="I33" s="267"/>
      <c r="J33" s="432"/>
    </row>
    <row r="34" spans="1:10">
      <c r="A34" s="254">
        <v>40339</v>
      </c>
      <c r="B34" s="142">
        <v>3273</v>
      </c>
      <c r="C34" s="142" t="s">
        <v>1017</v>
      </c>
      <c r="D34" s="457">
        <v>878</v>
      </c>
      <c r="E34" s="267" t="s">
        <v>798</v>
      </c>
      <c r="F34" s="267" t="s">
        <v>799</v>
      </c>
      <c r="G34" s="267" t="s">
        <v>729</v>
      </c>
      <c r="H34" s="267" t="s">
        <v>800</v>
      </c>
      <c r="I34" s="267" t="s">
        <v>801</v>
      </c>
      <c r="J34" s="432"/>
    </row>
    <row r="35" spans="1:10">
      <c r="A35" s="254">
        <v>40340</v>
      </c>
      <c r="B35" s="142">
        <v>3274</v>
      </c>
      <c r="C35" s="142" t="s">
        <v>1018</v>
      </c>
      <c r="D35" s="457">
        <v>758</v>
      </c>
      <c r="E35" s="267" t="s">
        <v>802</v>
      </c>
      <c r="F35" s="267" t="s">
        <v>803</v>
      </c>
      <c r="G35" s="267" t="s">
        <v>770</v>
      </c>
      <c r="H35" s="267"/>
      <c r="I35" s="267"/>
      <c r="J35" s="432"/>
    </row>
    <row r="36" spans="1:10">
      <c r="A36" s="254">
        <v>40343</v>
      </c>
      <c r="B36" s="142">
        <v>3275</v>
      </c>
      <c r="C36" s="142" t="s">
        <v>1019</v>
      </c>
      <c r="D36" s="457">
        <v>600</v>
      </c>
      <c r="E36" s="267" t="s">
        <v>804</v>
      </c>
      <c r="F36" s="267" t="s">
        <v>1077</v>
      </c>
      <c r="G36" s="267" t="s">
        <v>1078</v>
      </c>
      <c r="H36" s="267"/>
      <c r="I36" s="267"/>
      <c r="J36" s="432"/>
    </row>
    <row r="37" spans="1:10">
      <c r="A37" s="254">
        <v>40345</v>
      </c>
      <c r="B37" s="142">
        <v>3276</v>
      </c>
      <c r="C37" s="142" t="s">
        <v>1017</v>
      </c>
      <c r="D37" s="457">
        <v>9885</v>
      </c>
      <c r="E37" s="267" t="s">
        <v>805</v>
      </c>
      <c r="F37" s="267"/>
      <c r="G37" s="267"/>
      <c r="H37" s="267"/>
      <c r="I37" s="267"/>
      <c r="J37" s="432"/>
    </row>
    <row r="38" spans="1:10">
      <c r="A38" s="254">
        <v>40347</v>
      </c>
      <c r="B38" s="142">
        <v>3277</v>
      </c>
      <c r="C38" s="142" t="s">
        <v>1017</v>
      </c>
      <c r="D38" s="457">
        <v>6745</v>
      </c>
      <c r="E38" s="267" t="s">
        <v>806</v>
      </c>
      <c r="F38" s="267"/>
      <c r="G38" s="267"/>
      <c r="H38" s="267"/>
      <c r="I38" s="267"/>
      <c r="J38" s="432"/>
    </row>
    <row r="39" spans="1:10">
      <c r="A39" s="254">
        <v>40349</v>
      </c>
      <c r="B39" s="142">
        <v>3278</v>
      </c>
      <c r="C39" s="142" t="s">
        <v>1018</v>
      </c>
      <c r="D39" s="457">
        <v>864</v>
      </c>
      <c r="E39" s="268" t="s">
        <v>807</v>
      </c>
      <c r="F39" s="267"/>
      <c r="G39" s="267"/>
      <c r="H39" s="267"/>
      <c r="I39" s="267"/>
      <c r="J39" s="432"/>
    </row>
    <row r="40" spans="1:10">
      <c r="A40" s="254">
        <v>40352</v>
      </c>
      <c r="B40" s="142">
        <v>3279</v>
      </c>
      <c r="C40" s="142" t="s">
        <v>1019</v>
      </c>
      <c r="D40" s="457">
        <v>600</v>
      </c>
      <c r="E40" s="268" t="s">
        <v>808</v>
      </c>
      <c r="F40" s="267"/>
      <c r="G40" s="267"/>
      <c r="H40" s="267"/>
      <c r="I40" s="267"/>
      <c r="J40" s="432"/>
    </row>
    <row r="41" spans="1:10">
      <c r="A41" s="254">
        <v>40353</v>
      </c>
      <c r="B41" s="142">
        <v>3280</v>
      </c>
      <c r="C41" s="142" t="s">
        <v>1017</v>
      </c>
      <c r="D41" s="457">
        <v>5792.6944444444398</v>
      </c>
      <c r="E41" s="267" t="s">
        <v>809</v>
      </c>
      <c r="F41" s="267"/>
      <c r="G41" s="267"/>
      <c r="H41" s="267"/>
      <c r="I41" s="267"/>
      <c r="J41" s="432"/>
    </row>
    <row r="42" spans="1:10">
      <c r="A42" s="254">
        <v>40354</v>
      </c>
      <c r="B42" s="142">
        <v>3281</v>
      </c>
      <c r="C42" s="142" t="s">
        <v>1017</v>
      </c>
      <c r="D42" s="457">
        <v>6136.0777777777703</v>
      </c>
      <c r="E42" s="267" t="s">
        <v>810</v>
      </c>
      <c r="F42" s="267" t="s">
        <v>811</v>
      </c>
      <c r="G42" s="268" t="s">
        <v>812</v>
      </c>
      <c r="H42" s="267"/>
      <c r="I42" s="267"/>
      <c r="J42" s="432"/>
    </row>
    <row r="43" spans="1:10">
      <c r="A43" s="254">
        <v>40356</v>
      </c>
      <c r="B43" s="142">
        <v>3282</v>
      </c>
      <c r="C43" s="142" t="s">
        <v>1018</v>
      </c>
      <c r="D43" s="457">
        <v>783.08333333333303</v>
      </c>
      <c r="E43" s="267" t="s">
        <v>813</v>
      </c>
      <c r="F43" s="267" t="s">
        <v>814</v>
      </c>
      <c r="G43" s="267" t="s">
        <v>815</v>
      </c>
      <c r="H43" s="267" t="s">
        <v>816</v>
      </c>
      <c r="I43" s="267"/>
      <c r="J43" s="432"/>
    </row>
    <row r="44" spans="1:10">
      <c r="A44" s="254">
        <v>40359</v>
      </c>
      <c r="B44" s="142">
        <v>3283</v>
      </c>
      <c r="C44" s="142" t="s">
        <v>1019</v>
      </c>
      <c r="D44" s="457">
        <v>1200</v>
      </c>
      <c r="E44" s="267" t="s">
        <v>817</v>
      </c>
      <c r="F44" s="267" t="s">
        <v>818</v>
      </c>
      <c r="G44" s="267" t="s">
        <v>815</v>
      </c>
      <c r="H44" s="267" t="s">
        <v>819</v>
      </c>
      <c r="I44" s="267"/>
      <c r="J44" s="432"/>
    </row>
    <row r="45" spans="1:10">
      <c r="A45" s="254">
        <v>40362</v>
      </c>
      <c r="B45" s="142">
        <v>3284</v>
      </c>
      <c r="C45" s="142" t="s">
        <v>1017</v>
      </c>
      <c r="D45" s="457">
        <v>6479.4611111111099</v>
      </c>
      <c r="E45" s="267" t="s">
        <v>820</v>
      </c>
      <c r="F45" s="267"/>
      <c r="G45" s="267"/>
      <c r="H45" s="267"/>
      <c r="I45" s="267"/>
      <c r="J45" s="432"/>
    </row>
    <row r="46" spans="1:10">
      <c r="A46" s="254">
        <v>40364</v>
      </c>
      <c r="B46" s="142">
        <v>3285</v>
      </c>
      <c r="C46" s="142" t="s">
        <v>1017</v>
      </c>
      <c r="D46" s="457">
        <v>6822.8444444444403</v>
      </c>
      <c r="E46" s="267" t="s">
        <v>821</v>
      </c>
      <c r="F46" s="267"/>
      <c r="G46" s="267"/>
      <c r="H46" s="267"/>
      <c r="I46" s="267"/>
      <c r="J46" s="432"/>
    </row>
    <row r="47" spans="1:10">
      <c r="A47" s="254">
        <v>40366</v>
      </c>
      <c r="B47" s="142">
        <v>3286</v>
      </c>
      <c r="C47" s="142" t="s">
        <v>1018</v>
      </c>
      <c r="D47" s="457">
        <v>809.96666666666601</v>
      </c>
      <c r="E47" s="267" t="s">
        <v>822</v>
      </c>
      <c r="F47" s="267"/>
      <c r="G47" s="267"/>
      <c r="H47" s="267"/>
      <c r="I47" s="267"/>
      <c r="J47" s="432"/>
    </row>
    <row r="48" spans="1:10">
      <c r="A48" s="254">
        <v>40368</v>
      </c>
      <c r="B48" s="142">
        <v>3287</v>
      </c>
      <c r="C48" s="142" t="s">
        <v>1019</v>
      </c>
      <c r="D48" s="457">
        <v>600</v>
      </c>
      <c r="E48" s="267" t="s">
        <v>823</v>
      </c>
      <c r="F48" s="267" t="s">
        <v>824</v>
      </c>
      <c r="G48" s="267" t="s">
        <v>815</v>
      </c>
      <c r="H48" s="267" t="s">
        <v>825</v>
      </c>
      <c r="I48" s="267"/>
      <c r="J48" s="432"/>
    </row>
    <row r="49" spans="1:10">
      <c r="A49" s="254">
        <v>40371</v>
      </c>
      <c r="B49" s="142">
        <v>3288</v>
      </c>
      <c r="C49" s="142" t="s">
        <v>1017</v>
      </c>
      <c r="D49" s="457">
        <v>7166.2277777777699</v>
      </c>
      <c r="E49" s="267" t="s">
        <v>826</v>
      </c>
      <c r="F49" s="267"/>
      <c r="G49" s="267"/>
      <c r="H49" s="267"/>
      <c r="I49" s="267"/>
      <c r="J49" s="432"/>
    </row>
    <row r="50" spans="1:10">
      <c r="A50" s="254">
        <v>40374</v>
      </c>
      <c r="B50" s="142">
        <v>3289</v>
      </c>
      <c r="C50" s="142" t="s">
        <v>1017</v>
      </c>
      <c r="D50" s="457">
        <v>7509.6111111111104</v>
      </c>
      <c r="E50" s="267" t="s">
        <v>827</v>
      </c>
      <c r="F50" s="267"/>
      <c r="G50" s="267"/>
      <c r="H50" s="267"/>
      <c r="I50" s="267"/>
      <c r="J50" s="432"/>
    </row>
    <row r="51" spans="1:10">
      <c r="A51" s="254">
        <v>40377</v>
      </c>
      <c r="B51" s="142">
        <v>3290</v>
      </c>
      <c r="C51" s="142" t="s">
        <v>1018</v>
      </c>
      <c r="D51" s="457">
        <v>836.85</v>
      </c>
      <c r="E51" s="267" t="s">
        <v>828</v>
      </c>
      <c r="F51" s="267" t="s">
        <v>829</v>
      </c>
      <c r="G51" s="267" t="s">
        <v>830</v>
      </c>
      <c r="H51" s="267" t="s">
        <v>831</v>
      </c>
      <c r="I51" s="267" t="s">
        <v>832</v>
      </c>
      <c r="J51" s="432"/>
    </row>
    <row r="52" spans="1:10">
      <c r="A52" s="254">
        <v>40379</v>
      </c>
      <c r="B52" s="142">
        <v>3291</v>
      </c>
      <c r="C52" s="142" t="s">
        <v>1019</v>
      </c>
      <c r="D52" s="457">
        <v>600</v>
      </c>
      <c r="E52" s="267" t="s">
        <v>833</v>
      </c>
      <c r="F52" s="267" t="s">
        <v>834</v>
      </c>
      <c r="G52" s="267" t="s">
        <v>835</v>
      </c>
      <c r="H52" s="267"/>
      <c r="I52" s="267"/>
      <c r="J52" s="432"/>
    </row>
    <row r="53" spans="1:10">
      <c r="A53" s="254">
        <v>40380</v>
      </c>
      <c r="B53" s="142">
        <v>3292</v>
      </c>
      <c r="C53" s="142" t="s">
        <v>1017</v>
      </c>
      <c r="D53" s="457">
        <v>7852.99444444444</v>
      </c>
      <c r="E53" s="267" t="s">
        <v>836</v>
      </c>
      <c r="F53" s="267" t="s">
        <v>837</v>
      </c>
      <c r="G53" s="268" t="s">
        <v>838</v>
      </c>
      <c r="H53" s="267"/>
      <c r="I53" s="267"/>
      <c r="J53" s="432"/>
    </row>
    <row r="54" spans="1:10">
      <c r="A54" s="254">
        <v>40381</v>
      </c>
      <c r="B54" s="142">
        <v>3293</v>
      </c>
      <c r="C54" s="142" t="s">
        <v>1017</v>
      </c>
      <c r="D54" s="457">
        <v>8196.3777777777705</v>
      </c>
      <c r="E54" s="267" t="s">
        <v>839</v>
      </c>
      <c r="F54" s="267"/>
      <c r="G54" s="267"/>
      <c r="H54" s="267"/>
      <c r="I54" s="267"/>
      <c r="J54" s="432"/>
    </row>
    <row r="55" spans="1:10">
      <c r="A55" s="254">
        <v>40383</v>
      </c>
      <c r="B55" s="142">
        <v>3294</v>
      </c>
      <c r="C55" s="142" t="s">
        <v>1018</v>
      </c>
      <c r="D55" s="457">
        <v>863.73333333333301</v>
      </c>
      <c r="E55" s="267" t="s">
        <v>840</v>
      </c>
      <c r="F55" s="267"/>
      <c r="G55" s="267"/>
      <c r="H55" s="267"/>
      <c r="I55" s="267"/>
      <c r="J55" s="432"/>
    </row>
    <row r="56" spans="1:10">
      <c r="A56" s="254">
        <v>40385</v>
      </c>
      <c r="B56" s="142">
        <v>3295</v>
      </c>
      <c r="C56" s="142" t="s">
        <v>1019</v>
      </c>
      <c r="D56" s="457">
        <v>1200</v>
      </c>
      <c r="E56" s="267" t="s">
        <v>841</v>
      </c>
      <c r="F56" s="267"/>
      <c r="G56" s="267"/>
      <c r="H56" s="267"/>
      <c r="I56" s="267"/>
      <c r="J56" s="432"/>
    </row>
    <row r="57" spans="1:10">
      <c r="A57" s="254">
        <v>40386</v>
      </c>
      <c r="B57" s="142">
        <v>3296</v>
      </c>
      <c r="C57" s="142" t="s">
        <v>1017</v>
      </c>
      <c r="D57" s="457">
        <v>8539.7611111111091</v>
      </c>
      <c r="E57" s="267" t="s">
        <v>842</v>
      </c>
      <c r="F57" s="267"/>
      <c r="G57" s="267"/>
      <c r="H57" s="267"/>
      <c r="I57" s="267"/>
      <c r="J57" s="432"/>
    </row>
    <row r="58" spans="1:10">
      <c r="A58" s="254">
        <v>40389</v>
      </c>
      <c r="B58" s="142">
        <v>3297</v>
      </c>
      <c r="C58" s="142" t="s">
        <v>1017</v>
      </c>
      <c r="D58" s="457">
        <v>8883.1444444444405</v>
      </c>
      <c r="E58" s="267" t="s">
        <v>843</v>
      </c>
      <c r="F58" s="267"/>
      <c r="G58" s="267"/>
      <c r="H58" s="267"/>
      <c r="I58" s="267"/>
      <c r="J58" s="432"/>
    </row>
    <row r="59" spans="1:10">
      <c r="A59" s="254">
        <v>40390</v>
      </c>
      <c r="B59" s="142">
        <v>3298</v>
      </c>
      <c r="C59" s="142" t="s">
        <v>1018</v>
      </c>
      <c r="D59" s="457">
        <v>890.61666666666599</v>
      </c>
      <c r="E59" s="267" t="s">
        <v>844</v>
      </c>
      <c r="F59" s="267" t="s">
        <v>845</v>
      </c>
      <c r="G59" s="268" t="s">
        <v>846</v>
      </c>
      <c r="H59" s="267"/>
      <c r="I59" s="267"/>
      <c r="J59" s="432"/>
    </row>
    <row r="60" spans="1:10">
      <c r="A60" s="254">
        <v>40393</v>
      </c>
      <c r="B60" s="142">
        <v>3299</v>
      </c>
      <c r="C60" s="142" t="s">
        <v>1018</v>
      </c>
      <c r="D60" s="457">
        <v>1800</v>
      </c>
      <c r="E60" s="267" t="s">
        <v>847</v>
      </c>
      <c r="F60" s="267"/>
      <c r="G60" s="267"/>
      <c r="H60" s="267"/>
      <c r="I60" s="267"/>
      <c r="J60" s="432"/>
    </row>
    <row r="61" spans="1:10">
      <c r="A61" s="254">
        <v>40396</v>
      </c>
      <c r="B61" s="142">
        <v>3300</v>
      </c>
      <c r="C61" s="142" t="s">
        <v>1017</v>
      </c>
      <c r="D61" s="457">
        <v>9226.5277777777701</v>
      </c>
      <c r="E61" s="267" t="s">
        <v>848</v>
      </c>
      <c r="F61" s="267" t="s">
        <v>849</v>
      </c>
      <c r="G61" s="267" t="s">
        <v>850</v>
      </c>
      <c r="H61" s="267" t="s">
        <v>851</v>
      </c>
      <c r="I61" s="267"/>
      <c r="J61" s="432"/>
    </row>
    <row r="62" spans="1:10">
      <c r="A62" s="254">
        <v>40397</v>
      </c>
      <c r="B62" s="142">
        <v>3301</v>
      </c>
      <c r="C62" s="142" t="s">
        <v>1017</v>
      </c>
      <c r="D62" s="457">
        <v>9569.9111111111106</v>
      </c>
      <c r="E62" s="267" t="s">
        <v>852</v>
      </c>
      <c r="F62" s="267" t="s">
        <v>853</v>
      </c>
      <c r="G62" s="268" t="s">
        <v>854</v>
      </c>
      <c r="H62" s="268" t="s">
        <v>855</v>
      </c>
      <c r="I62" s="267" t="s">
        <v>856</v>
      </c>
      <c r="J62" s="432"/>
    </row>
    <row r="63" spans="1:10">
      <c r="A63" s="254">
        <v>40400</v>
      </c>
      <c r="B63" s="142">
        <v>3302</v>
      </c>
      <c r="C63" s="142" t="s">
        <v>1018</v>
      </c>
      <c r="D63" s="457">
        <v>917.5</v>
      </c>
      <c r="E63" s="267" t="s">
        <v>857</v>
      </c>
      <c r="F63" s="267"/>
      <c r="G63" s="267"/>
      <c r="H63" s="267"/>
      <c r="I63" s="267"/>
      <c r="J63" s="432"/>
    </row>
    <row r="64" spans="1:10">
      <c r="A64" s="254">
        <v>40401</v>
      </c>
      <c r="B64" s="142">
        <v>3303</v>
      </c>
      <c r="C64" s="142" t="s">
        <v>1018</v>
      </c>
      <c r="D64" s="457">
        <v>600</v>
      </c>
      <c r="E64" s="267" t="s">
        <v>858</v>
      </c>
      <c r="F64" s="267"/>
      <c r="G64" s="267"/>
      <c r="H64" s="267"/>
      <c r="I64" s="267"/>
      <c r="J64" s="432"/>
    </row>
    <row r="65" spans="1:10">
      <c r="A65" s="254">
        <v>40403</v>
      </c>
      <c r="B65" s="142">
        <v>3304</v>
      </c>
      <c r="C65" s="142" t="s">
        <v>1017</v>
      </c>
      <c r="D65" s="457">
        <v>9913.2944444444402</v>
      </c>
      <c r="E65" s="267" t="s">
        <v>859</v>
      </c>
      <c r="F65" s="267" t="s">
        <v>860</v>
      </c>
      <c r="G65" s="267" t="s">
        <v>861</v>
      </c>
      <c r="H65" s="267"/>
      <c r="I65" s="267"/>
      <c r="J65" s="432"/>
    </row>
    <row r="66" spans="1:10">
      <c r="A66" s="254">
        <v>40405</v>
      </c>
      <c r="B66" s="142">
        <v>3305</v>
      </c>
      <c r="C66" s="142" t="s">
        <v>1017</v>
      </c>
      <c r="D66" s="457">
        <v>10256.677777777801</v>
      </c>
      <c r="E66" s="267" t="s">
        <v>862</v>
      </c>
      <c r="F66" s="267" t="s">
        <v>863</v>
      </c>
      <c r="G66" s="267" t="s">
        <v>754</v>
      </c>
      <c r="H66" s="267"/>
      <c r="I66" s="267"/>
      <c r="J66" s="432"/>
    </row>
    <row r="67" spans="1:10">
      <c r="A67" s="254">
        <v>40408</v>
      </c>
      <c r="B67" s="142">
        <v>3306</v>
      </c>
      <c r="C67" s="142" t="s">
        <v>1018</v>
      </c>
      <c r="D67" s="457">
        <v>944.38333333333298</v>
      </c>
      <c r="E67" s="267" t="s">
        <v>864</v>
      </c>
      <c r="F67" s="267" t="s">
        <v>865</v>
      </c>
      <c r="G67" s="267" t="s">
        <v>815</v>
      </c>
      <c r="H67" s="267" t="s">
        <v>866</v>
      </c>
      <c r="I67" s="267" t="s">
        <v>867</v>
      </c>
      <c r="J67" s="432"/>
    </row>
    <row r="68" spans="1:10">
      <c r="A68" s="254">
        <v>40409</v>
      </c>
      <c r="B68" s="142">
        <v>3307</v>
      </c>
      <c r="C68" s="142" t="s">
        <v>1019</v>
      </c>
      <c r="D68" s="457">
        <v>600</v>
      </c>
      <c r="E68" s="267" t="s">
        <v>868</v>
      </c>
      <c r="F68" s="267" t="s">
        <v>869</v>
      </c>
      <c r="G68" s="268" t="s">
        <v>776</v>
      </c>
      <c r="H68" s="267" t="s">
        <v>870</v>
      </c>
      <c r="I68" s="267" t="s">
        <v>871</v>
      </c>
      <c r="J68" s="432"/>
    </row>
    <row r="69" spans="1:10">
      <c r="A69" s="254">
        <v>40410</v>
      </c>
      <c r="B69" s="142">
        <v>3308</v>
      </c>
      <c r="C69" s="142" t="s">
        <v>1017</v>
      </c>
      <c r="D69" s="457">
        <v>10600.061111111099</v>
      </c>
      <c r="E69" s="267" t="s">
        <v>872</v>
      </c>
      <c r="F69" s="267"/>
      <c r="G69" s="267"/>
      <c r="H69" s="267"/>
      <c r="I69" s="267"/>
      <c r="J69" s="432"/>
    </row>
    <row r="70" spans="1:10">
      <c r="A70" s="254">
        <v>40412</v>
      </c>
      <c r="B70" s="142">
        <v>3309</v>
      </c>
      <c r="C70" s="142" t="s">
        <v>1017</v>
      </c>
      <c r="D70" s="457">
        <v>10943.4444444444</v>
      </c>
      <c r="E70" s="267" t="s">
        <v>873</v>
      </c>
      <c r="F70" s="267"/>
      <c r="G70" s="267"/>
      <c r="H70" s="267"/>
      <c r="I70" s="267"/>
      <c r="J70" s="432"/>
    </row>
    <row r="71" spans="1:10">
      <c r="A71" s="254">
        <v>40414</v>
      </c>
      <c r="B71" s="142">
        <v>3310</v>
      </c>
      <c r="C71" s="142" t="s">
        <v>1018</v>
      </c>
      <c r="D71" s="457">
        <v>971.26666666666597</v>
      </c>
      <c r="E71" s="267" t="s">
        <v>874</v>
      </c>
      <c r="F71" s="267" t="s">
        <v>875</v>
      </c>
      <c r="G71" s="267" t="s">
        <v>729</v>
      </c>
      <c r="H71" s="267" t="s">
        <v>876</v>
      </c>
      <c r="I71" s="267" t="s">
        <v>877</v>
      </c>
      <c r="J71" s="432"/>
    </row>
    <row r="72" spans="1:10">
      <c r="A72" s="254">
        <v>40416</v>
      </c>
      <c r="B72" s="142">
        <v>3311</v>
      </c>
      <c r="C72" s="142" t="s">
        <v>1019</v>
      </c>
      <c r="D72" s="457">
        <v>600</v>
      </c>
      <c r="E72" s="267" t="s">
        <v>878</v>
      </c>
      <c r="F72" s="267" t="s">
        <v>879</v>
      </c>
      <c r="G72" s="267" t="s">
        <v>880</v>
      </c>
      <c r="H72" s="267" t="s">
        <v>881</v>
      </c>
      <c r="I72" s="267" t="s">
        <v>882</v>
      </c>
      <c r="J72" s="432"/>
    </row>
    <row r="73" spans="1:10">
      <c r="A73" s="254">
        <v>40419</v>
      </c>
      <c r="B73" s="142">
        <v>3312</v>
      </c>
      <c r="C73" s="142" t="s">
        <v>1017</v>
      </c>
      <c r="D73" s="457">
        <v>8866</v>
      </c>
      <c r="E73" s="267" t="s">
        <v>883</v>
      </c>
      <c r="F73" s="267" t="s">
        <v>884</v>
      </c>
      <c r="G73" s="267" t="s">
        <v>885</v>
      </c>
      <c r="H73" s="267" t="s">
        <v>886</v>
      </c>
      <c r="I73" s="267" t="s">
        <v>887</v>
      </c>
      <c r="J73" s="432"/>
    </row>
    <row r="74" spans="1:10">
      <c r="A74" s="254">
        <v>40420</v>
      </c>
      <c r="B74" s="142">
        <v>3313</v>
      </c>
      <c r="C74" s="142" t="s">
        <v>1017</v>
      </c>
      <c r="D74" s="457">
        <v>8777</v>
      </c>
      <c r="E74" s="267" t="s">
        <v>888</v>
      </c>
      <c r="F74" s="267"/>
      <c r="G74" s="267"/>
      <c r="H74" s="267"/>
      <c r="I74" s="267"/>
      <c r="J74" s="432"/>
    </row>
    <row r="75" spans="1:10">
      <c r="A75" s="254">
        <v>40423</v>
      </c>
      <c r="B75" s="142">
        <v>3314</v>
      </c>
      <c r="C75" s="142" t="s">
        <v>1018</v>
      </c>
      <c r="D75" s="457">
        <v>998.15</v>
      </c>
      <c r="E75" s="267" t="s">
        <v>889</v>
      </c>
      <c r="F75" s="267" t="s">
        <v>890</v>
      </c>
      <c r="G75" s="267" t="s">
        <v>891</v>
      </c>
      <c r="H75" s="267" t="s">
        <v>892</v>
      </c>
      <c r="I75" s="267" t="s">
        <v>893</v>
      </c>
      <c r="J75" s="432"/>
    </row>
    <row r="76" spans="1:10">
      <c r="A76" s="254">
        <v>40425</v>
      </c>
      <c r="B76" s="142">
        <v>3315</v>
      </c>
      <c r="C76" s="142" t="s">
        <v>1019</v>
      </c>
      <c r="D76" s="457">
        <v>1200</v>
      </c>
      <c r="E76" s="267" t="s">
        <v>894</v>
      </c>
      <c r="F76" s="267"/>
      <c r="G76" s="267"/>
      <c r="H76" s="267"/>
      <c r="I76" s="267"/>
      <c r="J76" s="432"/>
    </row>
    <row r="77" spans="1:10">
      <c r="A77" s="254">
        <v>40428</v>
      </c>
      <c r="B77" s="142">
        <v>3316</v>
      </c>
      <c r="C77" s="142" t="s">
        <v>1017</v>
      </c>
      <c r="D77" s="457">
        <v>7687</v>
      </c>
      <c r="E77" s="267" t="s">
        <v>895</v>
      </c>
      <c r="F77" s="267" t="s">
        <v>896</v>
      </c>
      <c r="G77" s="267"/>
      <c r="H77" s="267" t="s">
        <v>897</v>
      </c>
      <c r="I77" s="267"/>
      <c r="J77" s="432"/>
    </row>
    <row r="78" spans="1:10">
      <c r="A78" s="254">
        <v>40430</v>
      </c>
      <c r="B78" s="142">
        <v>3317</v>
      </c>
      <c r="C78" s="142" t="s">
        <v>1017</v>
      </c>
      <c r="D78" s="457">
        <v>7482.1955555555396</v>
      </c>
      <c r="E78" s="267" t="s">
        <v>898</v>
      </c>
      <c r="F78" s="267" t="s">
        <v>899</v>
      </c>
      <c r="G78" s="267" t="s">
        <v>850</v>
      </c>
      <c r="H78" s="267" t="s">
        <v>900</v>
      </c>
      <c r="I78" s="267" t="s">
        <v>901</v>
      </c>
      <c r="J78" s="432"/>
    </row>
    <row r="79" spans="1:10">
      <c r="A79" s="254">
        <v>40431</v>
      </c>
      <c r="B79" s="142">
        <v>3318</v>
      </c>
      <c r="C79" s="142" t="s">
        <v>1018</v>
      </c>
      <c r="D79" s="457">
        <v>1025.0333333333299</v>
      </c>
      <c r="E79" s="267" t="s">
        <v>902</v>
      </c>
      <c r="F79" s="267"/>
      <c r="G79" s="267"/>
      <c r="H79" s="267"/>
      <c r="I79" s="267"/>
      <c r="J79" s="432"/>
    </row>
    <row r="80" spans="1:10">
      <c r="A80" s="254">
        <v>40433</v>
      </c>
      <c r="B80" s="142">
        <v>3319</v>
      </c>
      <c r="C80" s="142" t="s">
        <v>1019</v>
      </c>
      <c r="D80" s="457">
        <v>600</v>
      </c>
      <c r="E80" s="267" t="s">
        <v>903</v>
      </c>
      <c r="F80" s="267" t="s">
        <v>904</v>
      </c>
      <c r="G80" s="267" t="s">
        <v>815</v>
      </c>
      <c r="H80" s="267" t="s">
        <v>905</v>
      </c>
      <c r="I80" s="267" t="s">
        <v>906</v>
      </c>
      <c r="J80" s="432"/>
    </row>
    <row r="81" spans="1:10">
      <c r="A81" s="254">
        <v>40435</v>
      </c>
      <c r="B81" s="142">
        <v>3320</v>
      </c>
      <c r="C81" s="142" t="s">
        <v>1017</v>
      </c>
      <c r="D81" s="457">
        <v>6899.4807936507796</v>
      </c>
      <c r="E81" s="267" t="s">
        <v>907</v>
      </c>
      <c r="F81" s="267" t="s">
        <v>908</v>
      </c>
      <c r="G81" s="268" t="s">
        <v>909</v>
      </c>
      <c r="H81" s="267" t="s">
        <v>910</v>
      </c>
      <c r="I81" s="267"/>
      <c r="J81" s="432"/>
    </row>
    <row r="82" spans="1:10">
      <c r="A82" s="254">
        <v>40436</v>
      </c>
      <c r="B82" s="142">
        <v>3321</v>
      </c>
      <c r="C82" s="142" t="s">
        <v>1017</v>
      </c>
      <c r="D82" s="457">
        <v>6316.7660317460204</v>
      </c>
      <c r="E82" s="267" t="s">
        <v>911</v>
      </c>
      <c r="F82" s="267"/>
      <c r="G82" s="267"/>
      <c r="H82" s="267"/>
      <c r="I82" s="267"/>
      <c r="J82" s="432"/>
    </row>
    <row r="83" spans="1:10">
      <c r="A83" s="254">
        <v>40439</v>
      </c>
      <c r="B83" s="142">
        <v>3322</v>
      </c>
      <c r="C83" s="142" t="s">
        <v>1018</v>
      </c>
      <c r="D83" s="457">
        <v>1051.9166666666699</v>
      </c>
      <c r="E83" s="267" t="s">
        <v>912</v>
      </c>
      <c r="F83" s="267" t="s">
        <v>913</v>
      </c>
      <c r="G83" s="267" t="s">
        <v>914</v>
      </c>
      <c r="H83" s="267" t="s">
        <v>915</v>
      </c>
      <c r="I83" s="267" t="s">
        <v>916</v>
      </c>
      <c r="J83" s="432"/>
    </row>
    <row r="84" spans="1:10">
      <c r="A84" s="254">
        <v>40441</v>
      </c>
      <c r="B84" s="142">
        <v>3323</v>
      </c>
      <c r="C84" s="142" t="s">
        <v>1019</v>
      </c>
      <c r="D84" s="457">
        <v>600</v>
      </c>
      <c r="E84" s="267" t="s">
        <v>917</v>
      </c>
      <c r="F84" s="267" t="s">
        <v>918</v>
      </c>
      <c r="G84" s="268" t="s">
        <v>919</v>
      </c>
      <c r="H84" s="267"/>
      <c r="I84" s="267"/>
      <c r="J84" s="432"/>
    </row>
    <row r="85" spans="1:10">
      <c r="A85" s="254">
        <v>40443</v>
      </c>
      <c r="B85" s="142">
        <v>3324</v>
      </c>
      <c r="C85" s="142" t="s">
        <v>1017</v>
      </c>
      <c r="D85" s="457">
        <v>5734.0512698412504</v>
      </c>
      <c r="E85" s="267" t="s">
        <v>920</v>
      </c>
      <c r="F85" s="267" t="s">
        <v>921</v>
      </c>
      <c r="G85" s="267" t="s">
        <v>850</v>
      </c>
      <c r="H85" s="267" t="s">
        <v>922</v>
      </c>
      <c r="I85" s="267"/>
      <c r="J85" s="432"/>
    </row>
    <row r="86" spans="1:10">
      <c r="A86" s="254">
        <v>40446</v>
      </c>
      <c r="B86" s="142">
        <v>3325</v>
      </c>
      <c r="C86" s="142" t="s">
        <v>1017</v>
      </c>
      <c r="D86" s="457">
        <v>5151.3365079364903</v>
      </c>
      <c r="E86" s="267" t="s">
        <v>923</v>
      </c>
      <c r="F86" s="267" t="s">
        <v>924</v>
      </c>
      <c r="G86" s="267" t="s">
        <v>925</v>
      </c>
      <c r="H86" s="267" t="s">
        <v>926</v>
      </c>
      <c r="I86" s="267"/>
      <c r="J86" s="432"/>
    </row>
    <row r="87" spans="1:10">
      <c r="A87" s="254">
        <v>40447</v>
      </c>
      <c r="B87" s="142">
        <v>3326</v>
      </c>
      <c r="C87" s="142" t="s">
        <v>1018</v>
      </c>
      <c r="D87" s="457">
        <v>1078.8</v>
      </c>
      <c r="E87" s="267" t="s">
        <v>927</v>
      </c>
      <c r="F87" s="267" t="s">
        <v>928</v>
      </c>
      <c r="G87" s="267" t="s">
        <v>754</v>
      </c>
      <c r="H87" s="267"/>
      <c r="I87" s="267"/>
      <c r="J87" s="432"/>
    </row>
    <row r="88" spans="1:10">
      <c r="A88" s="254">
        <v>40449</v>
      </c>
      <c r="B88" s="142">
        <v>3327</v>
      </c>
      <c r="C88" s="142" t="s">
        <v>1019</v>
      </c>
      <c r="D88" s="457">
        <v>1200</v>
      </c>
      <c r="E88" s="267" t="s">
        <v>929</v>
      </c>
      <c r="F88" s="267"/>
      <c r="G88" s="267"/>
      <c r="H88" s="267"/>
      <c r="I88" s="267"/>
      <c r="J88" s="432"/>
    </row>
    <row r="89" spans="1:10">
      <c r="A89" s="254">
        <v>40450</v>
      </c>
      <c r="B89" s="142">
        <v>3328</v>
      </c>
      <c r="C89" s="142" t="s">
        <v>1017</v>
      </c>
      <c r="D89" s="457">
        <v>4568.6217460317303</v>
      </c>
      <c r="E89" s="267" t="s">
        <v>930</v>
      </c>
      <c r="F89" s="267" t="s">
        <v>931</v>
      </c>
      <c r="G89" s="267" t="s">
        <v>815</v>
      </c>
      <c r="H89" s="267" t="s">
        <v>932</v>
      </c>
      <c r="I89" s="267"/>
      <c r="J89" s="432"/>
    </row>
    <row r="90" spans="1:10">
      <c r="A90" s="254">
        <v>40452</v>
      </c>
      <c r="B90" s="142">
        <v>3329</v>
      </c>
      <c r="C90" s="142" t="s">
        <v>1017</v>
      </c>
      <c r="D90" s="457">
        <v>3985.9069841269602</v>
      </c>
      <c r="E90" s="267" t="s">
        <v>933</v>
      </c>
      <c r="F90" s="267"/>
      <c r="G90" s="267" t="s">
        <v>934</v>
      </c>
      <c r="H90" s="267"/>
      <c r="I90" s="267" t="s">
        <v>935</v>
      </c>
      <c r="J90" s="432"/>
    </row>
    <row r="91" spans="1:10">
      <c r="A91" s="254">
        <v>40453</v>
      </c>
      <c r="B91" s="142">
        <v>3330</v>
      </c>
      <c r="C91" s="142" t="s">
        <v>1018</v>
      </c>
      <c r="D91" s="457">
        <v>1105.68333333333</v>
      </c>
      <c r="E91" s="267" t="s">
        <v>936</v>
      </c>
      <c r="F91" s="267" t="s">
        <v>937</v>
      </c>
      <c r="G91" s="267" t="s">
        <v>776</v>
      </c>
      <c r="H91" s="267"/>
      <c r="I91" s="267"/>
      <c r="J91" s="432"/>
    </row>
    <row r="92" spans="1:10">
      <c r="A92" s="254">
        <v>40454</v>
      </c>
      <c r="B92" s="142">
        <v>3331</v>
      </c>
      <c r="C92" s="142" t="s">
        <v>1019</v>
      </c>
      <c r="D92" s="457">
        <v>1800</v>
      </c>
      <c r="E92" s="267" t="s">
        <v>938</v>
      </c>
      <c r="F92" s="267" t="s">
        <v>939</v>
      </c>
      <c r="G92" s="267" t="s">
        <v>940</v>
      </c>
      <c r="H92" s="267" t="s">
        <v>941</v>
      </c>
      <c r="I92" s="267" t="s">
        <v>942</v>
      </c>
      <c r="J92" s="432"/>
    </row>
    <row r="93" spans="1:10">
      <c r="A93" s="254">
        <v>40455</v>
      </c>
      <c r="B93" s="142">
        <v>3332</v>
      </c>
      <c r="C93" s="142" t="s">
        <v>1017</v>
      </c>
      <c r="D93" s="457">
        <v>3403.1922222222001</v>
      </c>
      <c r="E93" s="267" t="s">
        <v>944</v>
      </c>
      <c r="F93" s="267" t="s">
        <v>945</v>
      </c>
      <c r="G93" s="267" t="s">
        <v>776</v>
      </c>
      <c r="H93" s="267" t="s">
        <v>946</v>
      </c>
      <c r="I93" s="267"/>
      <c r="J93" s="432"/>
    </row>
    <row r="94" spans="1:10">
      <c r="A94" s="254">
        <v>40458</v>
      </c>
      <c r="B94" s="142">
        <v>3333</v>
      </c>
      <c r="C94" s="142" t="s">
        <v>1017</v>
      </c>
      <c r="D94" s="457">
        <v>2820.4774603174401</v>
      </c>
      <c r="E94" s="267" t="s">
        <v>947</v>
      </c>
      <c r="F94" s="267" t="s">
        <v>948</v>
      </c>
      <c r="G94" s="267" t="s">
        <v>949</v>
      </c>
      <c r="H94" s="267" t="s">
        <v>950</v>
      </c>
      <c r="I94" s="267"/>
      <c r="J94" s="432"/>
    </row>
    <row r="95" spans="1:10">
      <c r="A95" s="254">
        <v>40460</v>
      </c>
      <c r="B95" s="142">
        <v>3334</v>
      </c>
      <c r="C95" s="142" t="s">
        <v>1018</v>
      </c>
      <c r="D95" s="457">
        <v>1132.56666666667</v>
      </c>
      <c r="E95" s="267" t="s">
        <v>951</v>
      </c>
      <c r="F95" s="267"/>
      <c r="G95" s="267"/>
      <c r="H95" s="267"/>
      <c r="I95" s="267"/>
      <c r="J95" s="432"/>
    </row>
    <row r="96" spans="1:10">
      <c r="A96" s="254">
        <v>40463</v>
      </c>
      <c r="B96" s="142">
        <v>3335</v>
      </c>
      <c r="C96" s="142" t="s">
        <v>1019</v>
      </c>
      <c r="D96" s="457">
        <v>600</v>
      </c>
      <c r="E96" s="267" t="s">
        <v>952</v>
      </c>
      <c r="F96" s="267"/>
      <c r="G96" s="267"/>
      <c r="H96" s="267"/>
      <c r="I96" s="267"/>
      <c r="J96" s="432"/>
    </row>
    <row r="97" spans="1:10">
      <c r="A97" s="254">
        <v>40464</v>
      </c>
      <c r="B97" s="142">
        <v>3336</v>
      </c>
      <c r="C97" s="142" t="s">
        <v>1017</v>
      </c>
      <c r="D97" s="457">
        <v>2237.76269841268</v>
      </c>
      <c r="E97" s="267" t="s">
        <v>953</v>
      </c>
      <c r="F97" s="267"/>
      <c r="G97" s="267"/>
      <c r="H97" s="267"/>
      <c r="I97" s="267"/>
      <c r="J97" s="432"/>
    </row>
    <row r="98" spans="1:10">
      <c r="A98" s="254">
        <v>40467</v>
      </c>
      <c r="B98" s="142">
        <v>3337</v>
      </c>
      <c r="C98" s="142" t="s">
        <v>1017</v>
      </c>
      <c r="D98" s="457">
        <v>1655.04793650791</v>
      </c>
      <c r="E98" s="267" t="s">
        <v>954</v>
      </c>
      <c r="F98" s="267"/>
      <c r="G98" s="267"/>
      <c r="H98" s="267"/>
      <c r="I98" s="267"/>
      <c r="J98" s="432"/>
    </row>
    <row r="99" spans="1:10">
      <c r="A99" s="254">
        <v>40470</v>
      </c>
      <c r="B99" s="142">
        <v>3338</v>
      </c>
      <c r="C99" s="142" t="s">
        <v>1018</v>
      </c>
      <c r="D99" s="457">
        <v>1159.45</v>
      </c>
      <c r="E99" s="267" t="s">
        <v>955</v>
      </c>
      <c r="F99" s="267"/>
      <c r="G99" s="267"/>
      <c r="H99" s="267"/>
      <c r="I99" s="267"/>
      <c r="J99" s="432"/>
    </row>
    <row r="100" spans="1:10">
      <c r="A100" s="254">
        <v>40471</v>
      </c>
      <c r="B100" s="142">
        <v>3339</v>
      </c>
      <c r="C100" s="142" t="s">
        <v>1019</v>
      </c>
      <c r="D100" s="457">
        <v>600</v>
      </c>
      <c r="E100" s="267" t="s">
        <v>956</v>
      </c>
      <c r="F100" s="268" t="s">
        <v>957</v>
      </c>
      <c r="G100" s="267" t="s">
        <v>776</v>
      </c>
      <c r="H100" s="267" t="s">
        <v>958</v>
      </c>
      <c r="I100" s="267" t="s">
        <v>959</v>
      </c>
      <c r="J100" s="432"/>
    </row>
    <row r="101" spans="1:10">
      <c r="A101" s="254">
        <v>40473</v>
      </c>
      <c r="B101" s="142">
        <v>3340</v>
      </c>
      <c r="C101" s="142" t="s">
        <v>1017</v>
      </c>
      <c r="D101" s="457">
        <v>1072.3331746031499</v>
      </c>
      <c r="E101" s="267" t="s">
        <v>960</v>
      </c>
      <c r="F101" s="267"/>
      <c r="G101" s="267"/>
      <c r="H101" s="267"/>
      <c r="I101" s="267"/>
      <c r="J101" s="432"/>
    </row>
    <row r="102" spans="1:10">
      <c r="A102" s="254">
        <v>40476</v>
      </c>
      <c r="B102" s="142">
        <v>3341</v>
      </c>
      <c r="C102" s="142" t="s">
        <v>1017</v>
      </c>
      <c r="D102" s="457">
        <v>489.61841269842398</v>
      </c>
      <c r="E102" s="267" t="s">
        <v>961</v>
      </c>
      <c r="F102" s="267" t="s">
        <v>962</v>
      </c>
      <c r="G102" s="268" t="s">
        <v>963</v>
      </c>
      <c r="H102" s="267"/>
      <c r="I102" s="267"/>
      <c r="J102" s="432"/>
    </row>
    <row r="103" spans="1:10">
      <c r="A103" s="254">
        <v>40477</v>
      </c>
      <c r="B103" s="142">
        <v>3342</v>
      </c>
      <c r="C103" s="142" t="s">
        <v>1018</v>
      </c>
      <c r="D103" s="457">
        <v>1186.3333333333301</v>
      </c>
      <c r="E103" s="267" t="s">
        <v>964</v>
      </c>
      <c r="F103" s="267"/>
      <c r="G103" s="267"/>
      <c r="H103" s="267"/>
      <c r="I103" s="267"/>
      <c r="J103" s="432"/>
    </row>
    <row r="104" spans="1:10">
      <c r="A104" s="254">
        <v>40479</v>
      </c>
      <c r="B104" s="142">
        <v>3343</v>
      </c>
      <c r="C104" s="142" t="s">
        <v>1019</v>
      </c>
      <c r="D104" s="457">
        <v>600</v>
      </c>
      <c r="E104" s="267" t="s">
        <v>965</v>
      </c>
      <c r="F104" s="267" t="s">
        <v>966</v>
      </c>
      <c r="G104" s="267" t="s">
        <v>850</v>
      </c>
      <c r="H104" s="267" t="s">
        <v>967</v>
      </c>
      <c r="I104" s="267" t="s">
        <v>968</v>
      </c>
      <c r="J104" s="432"/>
    </row>
    <row r="105" spans="1:10">
      <c r="A105" s="254">
        <v>40480</v>
      </c>
      <c r="B105" s="142">
        <v>3344</v>
      </c>
      <c r="C105" s="142" t="s">
        <v>1017</v>
      </c>
      <c r="D105" s="457">
        <v>4356</v>
      </c>
      <c r="E105" s="267" t="s">
        <v>969</v>
      </c>
      <c r="F105" s="267" t="s">
        <v>970</v>
      </c>
      <c r="G105" s="267" t="s">
        <v>971</v>
      </c>
      <c r="H105" s="267"/>
      <c r="I105" s="267"/>
      <c r="J105" s="432"/>
    </row>
    <row r="106" spans="1:10">
      <c r="A106" s="254">
        <v>40482</v>
      </c>
      <c r="B106" s="142">
        <v>3345</v>
      </c>
      <c r="C106" s="142" t="s">
        <v>1017</v>
      </c>
      <c r="D106" s="457">
        <v>2883.46596825398</v>
      </c>
      <c r="E106" s="267" t="s">
        <v>972</v>
      </c>
      <c r="F106" s="267"/>
      <c r="G106" s="267"/>
      <c r="H106" s="267"/>
      <c r="I106" s="267"/>
      <c r="J106" s="432"/>
    </row>
    <row r="107" spans="1:10">
      <c r="A107" s="254">
        <v>40485</v>
      </c>
      <c r="B107" s="142">
        <v>3346</v>
      </c>
      <c r="C107" s="142" t="s">
        <v>1018</v>
      </c>
      <c r="D107" s="457">
        <v>1213.2166666666701</v>
      </c>
      <c r="E107" s="267" t="s">
        <v>973</v>
      </c>
      <c r="F107" s="267" t="s">
        <v>974</v>
      </c>
      <c r="G107" s="268" t="s">
        <v>975</v>
      </c>
      <c r="H107" s="267"/>
      <c r="I107" s="267"/>
      <c r="J107" s="432"/>
    </row>
    <row r="108" spans="1:10">
      <c r="A108" s="254">
        <v>40487</v>
      </c>
      <c r="B108" s="142">
        <v>3347</v>
      </c>
      <c r="C108" s="142" t="s">
        <v>1019</v>
      </c>
      <c r="D108" s="457">
        <v>1200</v>
      </c>
      <c r="E108" s="267" t="s">
        <v>976</v>
      </c>
      <c r="F108" s="267" t="s">
        <v>977</v>
      </c>
      <c r="G108" s="267" t="s">
        <v>978</v>
      </c>
      <c r="H108" s="267"/>
      <c r="I108" s="267"/>
      <c r="J108" s="432"/>
    </row>
    <row r="109" spans="1:10">
      <c r="A109" s="254">
        <v>40490</v>
      </c>
      <c r="B109" s="142">
        <v>3348</v>
      </c>
      <c r="C109" s="142" t="s">
        <v>1017</v>
      </c>
      <c r="D109" s="457">
        <v>3190.5704761904899</v>
      </c>
      <c r="E109" s="267" t="s">
        <v>979</v>
      </c>
      <c r="F109" s="267" t="s">
        <v>980</v>
      </c>
      <c r="G109" s="267" t="s">
        <v>981</v>
      </c>
      <c r="H109" s="267"/>
      <c r="I109" s="267"/>
      <c r="J109" s="432"/>
    </row>
    <row r="110" spans="1:10">
      <c r="A110" s="254">
        <v>40491</v>
      </c>
      <c r="B110" s="142">
        <v>3349</v>
      </c>
      <c r="C110" s="142" t="s">
        <v>1017</v>
      </c>
      <c r="D110" s="457">
        <v>3497.6749841270098</v>
      </c>
      <c r="E110" s="267" t="s">
        <v>982</v>
      </c>
      <c r="F110" s="267"/>
      <c r="G110" s="267"/>
      <c r="H110" s="267"/>
      <c r="I110" s="267"/>
      <c r="J110" s="432"/>
    </row>
    <row r="111" spans="1:10">
      <c r="A111" s="254">
        <v>40494</v>
      </c>
      <c r="B111" s="142">
        <v>3350</v>
      </c>
      <c r="C111" s="142" t="s">
        <v>1018</v>
      </c>
      <c r="D111" s="457">
        <v>1240.0999999999999</v>
      </c>
      <c r="E111" s="267" t="s">
        <v>983</v>
      </c>
      <c r="F111" s="267"/>
      <c r="G111" s="267" t="s">
        <v>984</v>
      </c>
      <c r="H111" s="267" t="s">
        <v>985</v>
      </c>
      <c r="I111" s="267" t="s">
        <v>986</v>
      </c>
      <c r="J111" s="432"/>
    </row>
    <row r="112" spans="1:10">
      <c r="A112" s="254">
        <v>40497</v>
      </c>
      <c r="B112" s="142">
        <v>3351</v>
      </c>
      <c r="C112" s="142" t="s">
        <v>1019</v>
      </c>
      <c r="D112" s="457">
        <v>600</v>
      </c>
      <c r="E112" s="267" t="s">
        <v>987</v>
      </c>
      <c r="F112" s="267" t="s">
        <v>988</v>
      </c>
      <c r="G112" s="267" t="s">
        <v>989</v>
      </c>
      <c r="H112" s="267" t="s">
        <v>990</v>
      </c>
      <c r="I112" s="267" t="s">
        <v>991</v>
      </c>
      <c r="J112" s="432"/>
    </row>
    <row r="113" spans="1:10">
      <c r="A113" s="254">
        <v>40498</v>
      </c>
      <c r="B113" s="142">
        <v>3352</v>
      </c>
      <c r="C113" s="142" t="s">
        <v>1017</v>
      </c>
      <c r="D113" s="457">
        <v>3804.7794920635201</v>
      </c>
      <c r="E113" s="267" t="s">
        <v>992</v>
      </c>
      <c r="F113" s="267" t="s">
        <v>993</v>
      </c>
      <c r="G113" s="267" t="s">
        <v>994</v>
      </c>
      <c r="H113" s="267" t="s">
        <v>995</v>
      </c>
      <c r="I113" s="267"/>
      <c r="J113" s="432"/>
    </row>
    <row r="114" spans="1:10">
      <c r="A114" s="254">
        <v>40501</v>
      </c>
      <c r="B114" s="142">
        <v>3353</v>
      </c>
      <c r="C114" s="142" t="s">
        <v>1017</v>
      </c>
      <c r="D114" s="457">
        <v>4111.88400000004</v>
      </c>
      <c r="E114" s="267" t="s">
        <v>996</v>
      </c>
      <c r="F114" s="267"/>
      <c r="G114" s="267"/>
      <c r="H114" s="267"/>
      <c r="I114" s="267"/>
      <c r="J114" s="432"/>
    </row>
    <row r="115" spans="1:10">
      <c r="A115" s="254">
        <v>40502</v>
      </c>
      <c r="B115" s="142">
        <v>3354</v>
      </c>
      <c r="C115" s="142" t="s">
        <v>1018</v>
      </c>
      <c r="D115" s="457">
        <v>1266.9833333333299</v>
      </c>
      <c r="E115" s="267" t="s">
        <v>997</v>
      </c>
      <c r="F115" s="267" t="s">
        <v>998</v>
      </c>
      <c r="G115" s="268" t="s">
        <v>999</v>
      </c>
      <c r="H115" s="267"/>
      <c r="I115" s="267"/>
      <c r="J115" s="432"/>
    </row>
    <row r="116" spans="1:10">
      <c r="A116" s="254">
        <v>40504</v>
      </c>
      <c r="B116" s="142">
        <v>3355</v>
      </c>
      <c r="C116" s="142" t="s">
        <v>1019</v>
      </c>
      <c r="D116" s="457">
        <v>600</v>
      </c>
      <c r="E116" s="267" t="s">
        <v>1000</v>
      </c>
      <c r="F116" s="267" t="s">
        <v>1001</v>
      </c>
      <c r="G116" s="267" t="s">
        <v>754</v>
      </c>
      <c r="H116" s="267"/>
      <c r="I116" s="267"/>
      <c r="J116" s="432"/>
    </row>
    <row r="117" spans="1:10">
      <c r="A117" s="254">
        <v>40505</v>
      </c>
      <c r="B117" s="142">
        <v>3356</v>
      </c>
      <c r="C117" s="142" t="s">
        <v>1017</v>
      </c>
      <c r="D117" s="457">
        <v>4418.9885079365504</v>
      </c>
      <c r="E117" s="267" t="s">
        <v>1002</v>
      </c>
      <c r="F117" s="267" t="s">
        <v>1003</v>
      </c>
      <c r="G117" s="267" t="s">
        <v>793</v>
      </c>
      <c r="H117" s="267" t="s">
        <v>1004</v>
      </c>
      <c r="I117" s="267"/>
      <c r="J117" s="432"/>
    </row>
    <row r="118" spans="1:10">
      <c r="A118" s="254">
        <v>40507</v>
      </c>
      <c r="B118" s="142">
        <v>3357</v>
      </c>
      <c r="C118" s="142" t="s">
        <v>1017</v>
      </c>
      <c r="D118" s="457">
        <v>4726.0930158730698</v>
      </c>
      <c r="E118" s="267" t="s">
        <v>1005</v>
      </c>
      <c r="F118" s="267" t="s">
        <v>1006</v>
      </c>
      <c r="G118" s="267" t="s">
        <v>754</v>
      </c>
      <c r="H118" s="267"/>
      <c r="I118" s="267"/>
      <c r="J118" s="432"/>
    </row>
    <row r="119" spans="1:10">
      <c r="A119" s="254">
        <v>40509</v>
      </c>
      <c r="B119" s="142">
        <v>3358</v>
      </c>
      <c r="C119" s="142" t="s">
        <v>1018</v>
      </c>
      <c r="D119" s="457">
        <v>1293.86666666667</v>
      </c>
      <c r="E119" s="267" t="s">
        <v>1007</v>
      </c>
      <c r="F119" s="267" t="s">
        <v>1008</v>
      </c>
      <c r="G119" s="267" t="s">
        <v>1009</v>
      </c>
      <c r="H119" s="267" t="s">
        <v>1010</v>
      </c>
      <c r="I119" s="267" t="s">
        <v>1011</v>
      </c>
      <c r="J119" s="432"/>
    </row>
    <row r="120" spans="1:10">
      <c r="A120" s="254">
        <v>40512</v>
      </c>
      <c r="B120" s="142">
        <v>3359</v>
      </c>
      <c r="C120" s="142" t="s">
        <v>1019</v>
      </c>
      <c r="D120" s="457">
        <v>1200</v>
      </c>
      <c r="E120" s="267" t="s">
        <v>1012</v>
      </c>
      <c r="F120" s="267" t="s">
        <v>1013</v>
      </c>
      <c r="G120" s="267" t="s">
        <v>1014</v>
      </c>
      <c r="H120" s="432"/>
      <c r="I120" s="432"/>
      <c r="J120" s="432"/>
    </row>
    <row r="121" spans="1:10" ht="16.5" thickBot="1">
      <c r="D121" s="282">
        <f>SUM(D6:D120)</f>
        <v>362626.85834920622</v>
      </c>
      <c r="E121" s="432"/>
      <c r="F121" s="432"/>
      <c r="G121" s="432"/>
      <c r="H121" s="432"/>
      <c r="I121" s="432"/>
      <c r="J121" s="432"/>
    </row>
    <row r="122" spans="1:10" ht="16.5" thickTop="1"/>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I105"/>
  <sheetViews>
    <sheetView showGridLines="0" topLeftCell="A91" zoomScale="120" zoomScaleNormal="120" workbookViewId="0">
      <selection activeCell="F4" sqref="F4"/>
    </sheetView>
  </sheetViews>
  <sheetFormatPr defaultRowHeight="15.75"/>
  <cols>
    <col min="1" max="1" width="20.85546875" style="394" customWidth="1"/>
    <col min="2" max="4" width="5.42578125" style="394" customWidth="1"/>
    <col min="5" max="5" width="10.85546875" style="394" customWidth="1"/>
    <col min="6" max="7" width="10.85546875" style="393" customWidth="1"/>
    <col min="8" max="8" width="29" style="394" customWidth="1"/>
    <col min="9" max="16384" width="9.140625" style="394"/>
  </cols>
  <sheetData>
    <row r="1" spans="1:9" ht="23.25">
      <c r="A1" s="451" t="s">
        <v>1083</v>
      </c>
      <c r="E1" s="641" t="s">
        <v>2056</v>
      </c>
    </row>
    <row r="2" spans="1:9">
      <c r="B2" s="392"/>
    </row>
    <row r="3" spans="1:9">
      <c r="A3" s="392" t="s">
        <v>1402</v>
      </c>
    </row>
    <row r="4" spans="1:9" ht="16.5" thickBot="1">
      <c r="A4" s="395" t="s">
        <v>177</v>
      </c>
      <c r="B4" s="395" t="s">
        <v>1084</v>
      </c>
      <c r="C4" s="395" t="s">
        <v>1085</v>
      </c>
      <c r="D4" s="395" t="s">
        <v>1086</v>
      </c>
      <c r="E4" s="395" t="s">
        <v>1087</v>
      </c>
      <c r="F4" s="452" t="s">
        <v>1404</v>
      </c>
      <c r="G4" s="452" t="s">
        <v>1405</v>
      </c>
      <c r="H4" s="395" t="s">
        <v>1088</v>
      </c>
      <c r="I4" s="453"/>
    </row>
    <row r="5" spans="1:9">
      <c r="A5" s="394" t="s">
        <v>1089</v>
      </c>
      <c r="B5" s="394" t="s">
        <v>1090</v>
      </c>
      <c r="C5" s="394" t="s">
        <v>1091</v>
      </c>
      <c r="D5" s="394" t="s">
        <v>1092</v>
      </c>
      <c r="E5" s="394" t="s">
        <v>1093</v>
      </c>
      <c r="F5" s="393" t="str">
        <f>RIGHT(E5,3)</f>
        <v>268</v>
      </c>
      <c r="G5" s="393">
        <f>VALUE(F5)</f>
        <v>268</v>
      </c>
      <c r="H5" s="394" t="s">
        <v>1094</v>
      </c>
    </row>
    <row r="6" spans="1:9">
      <c r="A6" s="394" t="s">
        <v>1095</v>
      </c>
      <c r="B6" s="394" t="s">
        <v>1096</v>
      </c>
      <c r="C6" s="394" t="s">
        <v>1097</v>
      </c>
      <c r="D6" s="394" t="s">
        <v>1098</v>
      </c>
      <c r="E6" s="394" t="s">
        <v>1099</v>
      </c>
      <c r="F6" s="393" t="str">
        <f t="shared" ref="F6:F69" si="0">RIGHT(E6,3)</f>
        <v>169</v>
      </c>
      <c r="G6" s="393">
        <f t="shared" ref="G6:G69" si="1">VALUE(F6)</f>
        <v>169</v>
      </c>
      <c r="H6" s="394" t="s">
        <v>1100</v>
      </c>
    </row>
    <row r="7" spans="1:9">
      <c r="A7" s="394" t="s">
        <v>1101</v>
      </c>
      <c r="B7" s="394" t="s">
        <v>1096</v>
      </c>
      <c r="C7" s="394" t="s">
        <v>1102</v>
      </c>
      <c r="D7" s="394" t="s">
        <v>1103</v>
      </c>
      <c r="E7" s="394" t="s">
        <v>1104</v>
      </c>
      <c r="F7" s="393" t="str">
        <f t="shared" si="0"/>
        <v>180</v>
      </c>
      <c r="G7" s="393">
        <f t="shared" si="1"/>
        <v>180</v>
      </c>
      <c r="H7" s="394" t="s">
        <v>1105</v>
      </c>
    </row>
    <row r="8" spans="1:9">
      <c r="A8" s="394" t="s">
        <v>1106</v>
      </c>
      <c r="B8" s="394" t="s">
        <v>1107</v>
      </c>
      <c r="C8" s="394" t="s">
        <v>1108</v>
      </c>
      <c r="D8" s="394" t="s">
        <v>1109</v>
      </c>
      <c r="E8" s="394" t="s">
        <v>1110</v>
      </c>
      <c r="F8" s="393" t="str">
        <f t="shared" si="0"/>
        <v>197</v>
      </c>
      <c r="G8" s="393">
        <f t="shared" si="1"/>
        <v>197</v>
      </c>
      <c r="H8" s="394" t="s">
        <v>1111</v>
      </c>
    </row>
    <row r="9" spans="1:9">
      <c r="A9" s="394" t="s">
        <v>1112</v>
      </c>
      <c r="B9" s="394" t="s">
        <v>1113</v>
      </c>
      <c r="C9" s="394" t="s">
        <v>1102</v>
      </c>
      <c r="D9" s="394" t="s">
        <v>1103</v>
      </c>
      <c r="E9" s="394" t="s">
        <v>1114</v>
      </c>
      <c r="F9" s="393" t="str">
        <f t="shared" si="0"/>
        <v>211</v>
      </c>
      <c r="G9" s="393">
        <f t="shared" si="1"/>
        <v>211</v>
      </c>
      <c r="H9" s="394" t="s">
        <v>1115</v>
      </c>
    </row>
    <row r="10" spans="1:9">
      <c r="A10" s="394" t="s">
        <v>1116</v>
      </c>
      <c r="B10" s="394" t="s">
        <v>1117</v>
      </c>
      <c r="C10" s="394" t="s">
        <v>1091</v>
      </c>
      <c r="D10" s="394" t="s">
        <v>1092</v>
      </c>
      <c r="E10" s="394" t="s">
        <v>1118</v>
      </c>
      <c r="F10" s="393" t="str">
        <f t="shared" si="0"/>
        <v>239</v>
      </c>
      <c r="G10" s="393">
        <f t="shared" si="1"/>
        <v>239</v>
      </c>
      <c r="H10" s="394" t="s">
        <v>1119</v>
      </c>
    </row>
    <row r="11" spans="1:9">
      <c r="A11" s="394" t="s">
        <v>1120</v>
      </c>
      <c r="B11" s="394" t="s">
        <v>1117</v>
      </c>
      <c r="C11" s="394" t="s">
        <v>1102</v>
      </c>
      <c r="D11" s="394" t="s">
        <v>1103</v>
      </c>
      <c r="E11" s="394" t="s">
        <v>1121</v>
      </c>
      <c r="F11" s="393" t="str">
        <f t="shared" si="0"/>
        <v>192</v>
      </c>
      <c r="G11" s="393">
        <f t="shared" si="1"/>
        <v>192</v>
      </c>
      <c r="H11" s="394" t="s">
        <v>1122</v>
      </c>
    </row>
    <row r="12" spans="1:9">
      <c r="A12" s="394" t="s">
        <v>1123</v>
      </c>
      <c r="B12" s="394" t="s">
        <v>1124</v>
      </c>
      <c r="C12" s="394" t="s">
        <v>1097</v>
      </c>
      <c r="D12" s="394" t="s">
        <v>1098</v>
      </c>
      <c r="E12" s="394" t="s">
        <v>1125</v>
      </c>
      <c r="F12" s="393" t="str">
        <f t="shared" si="0"/>
        <v>232</v>
      </c>
      <c r="G12" s="393">
        <f t="shared" si="1"/>
        <v>232</v>
      </c>
      <c r="H12" s="394" t="s">
        <v>1126</v>
      </c>
    </row>
    <row r="13" spans="1:9">
      <c r="A13" s="394" t="s">
        <v>1127</v>
      </c>
      <c r="B13" s="394" t="s">
        <v>1128</v>
      </c>
      <c r="C13" s="394" t="s">
        <v>1102</v>
      </c>
      <c r="D13" s="394" t="s">
        <v>1103</v>
      </c>
      <c r="E13" s="394" t="s">
        <v>1129</v>
      </c>
      <c r="F13" s="393" t="str">
        <f t="shared" si="0"/>
        <v>205</v>
      </c>
      <c r="G13" s="393">
        <f t="shared" si="1"/>
        <v>205</v>
      </c>
      <c r="H13" s="394" t="s">
        <v>1130</v>
      </c>
    </row>
    <row r="14" spans="1:9">
      <c r="A14" s="394" t="s">
        <v>1131</v>
      </c>
      <c r="B14" s="394" t="s">
        <v>1107</v>
      </c>
      <c r="C14" s="394" t="s">
        <v>1108</v>
      </c>
      <c r="D14" s="394" t="s">
        <v>1109</v>
      </c>
      <c r="E14" s="394" t="s">
        <v>1132</v>
      </c>
      <c r="F14" s="393" t="str">
        <f t="shared" si="0"/>
        <v>215</v>
      </c>
      <c r="G14" s="393">
        <f t="shared" si="1"/>
        <v>215</v>
      </c>
      <c r="H14" s="394" t="s">
        <v>1100</v>
      </c>
    </row>
    <row r="15" spans="1:9">
      <c r="A15" s="394" t="s">
        <v>1133</v>
      </c>
      <c r="B15" s="394" t="s">
        <v>1096</v>
      </c>
      <c r="C15" s="394" t="s">
        <v>1091</v>
      </c>
      <c r="D15" s="394" t="s">
        <v>1092</v>
      </c>
      <c r="E15" s="394" t="s">
        <v>1134</v>
      </c>
      <c r="F15" s="393" t="str">
        <f t="shared" si="0"/>
        <v>185</v>
      </c>
      <c r="G15" s="393">
        <f t="shared" si="1"/>
        <v>185</v>
      </c>
      <c r="H15" s="394" t="s">
        <v>1135</v>
      </c>
    </row>
    <row r="16" spans="1:9">
      <c r="A16" s="394" t="s">
        <v>1136</v>
      </c>
      <c r="B16" s="394" t="s">
        <v>1117</v>
      </c>
      <c r="C16" s="394" t="s">
        <v>1091</v>
      </c>
      <c r="D16" s="394" t="s">
        <v>1092</v>
      </c>
      <c r="E16" s="394" t="s">
        <v>1137</v>
      </c>
      <c r="F16" s="393" t="str">
        <f t="shared" si="0"/>
        <v>207</v>
      </c>
      <c r="G16" s="393">
        <f t="shared" si="1"/>
        <v>207</v>
      </c>
      <c r="H16" s="394" t="s">
        <v>1126</v>
      </c>
    </row>
    <row r="17" spans="1:8">
      <c r="A17" s="394" t="s">
        <v>1138</v>
      </c>
      <c r="B17" s="394" t="s">
        <v>1128</v>
      </c>
      <c r="C17" s="394" t="s">
        <v>1097</v>
      </c>
      <c r="D17" s="394" t="s">
        <v>1098</v>
      </c>
      <c r="E17" s="394" t="s">
        <v>1139</v>
      </c>
      <c r="F17" s="393" t="str">
        <f t="shared" si="0"/>
        <v>182</v>
      </c>
      <c r="G17" s="393">
        <f t="shared" si="1"/>
        <v>182</v>
      </c>
      <c r="H17" s="394" t="s">
        <v>1140</v>
      </c>
    </row>
    <row r="18" spans="1:8">
      <c r="A18" s="394" t="s">
        <v>1141</v>
      </c>
      <c r="B18" s="394" t="s">
        <v>1142</v>
      </c>
      <c r="C18" s="394" t="s">
        <v>1102</v>
      </c>
      <c r="D18" s="394" t="s">
        <v>1103</v>
      </c>
      <c r="E18" s="394" t="s">
        <v>1143</v>
      </c>
      <c r="F18" s="393" t="str">
        <f t="shared" si="0"/>
        <v>201</v>
      </c>
      <c r="G18" s="393">
        <f t="shared" si="1"/>
        <v>201</v>
      </c>
      <c r="H18" s="394" t="s">
        <v>1144</v>
      </c>
    </row>
    <row r="19" spans="1:8">
      <c r="A19" s="394" t="s">
        <v>1145</v>
      </c>
      <c r="B19" s="394" t="s">
        <v>1128</v>
      </c>
      <c r="C19" s="394" t="s">
        <v>1097</v>
      </c>
      <c r="D19" s="394" t="s">
        <v>1098</v>
      </c>
      <c r="E19" s="394" t="s">
        <v>1146</v>
      </c>
      <c r="F19" s="393" t="str">
        <f t="shared" si="0"/>
        <v>176</v>
      </c>
      <c r="G19" s="393">
        <f t="shared" si="1"/>
        <v>176</v>
      </c>
      <c r="H19" s="394" t="s">
        <v>1147</v>
      </c>
    </row>
    <row r="20" spans="1:8">
      <c r="A20" s="394" t="s">
        <v>1148</v>
      </c>
      <c r="B20" s="394" t="s">
        <v>1128</v>
      </c>
      <c r="C20" s="394" t="s">
        <v>1091</v>
      </c>
      <c r="D20" s="394" t="s">
        <v>1149</v>
      </c>
      <c r="E20" s="394" t="s">
        <v>1150</v>
      </c>
      <c r="F20" s="393" t="str">
        <f t="shared" si="0"/>
        <v>212</v>
      </c>
      <c r="G20" s="393">
        <f t="shared" si="1"/>
        <v>212</v>
      </c>
      <c r="H20" s="394" t="s">
        <v>1151</v>
      </c>
    </row>
    <row r="21" spans="1:8">
      <c r="A21" s="394" t="s">
        <v>1152</v>
      </c>
      <c r="B21" s="394" t="s">
        <v>1128</v>
      </c>
      <c r="C21" s="394" t="s">
        <v>1108</v>
      </c>
      <c r="D21" s="394" t="s">
        <v>1153</v>
      </c>
      <c r="E21" s="394" t="s">
        <v>1154</v>
      </c>
      <c r="F21" s="393" t="str">
        <f t="shared" si="0"/>
        <v>206</v>
      </c>
      <c r="G21" s="393">
        <f t="shared" si="1"/>
        <v>206</v>
      </c>
      <c r="H21" s="394" t="s">
        <v>1155</v>
      </c>
    </row>
    <row r="22" spans="1:8">
      <c r="A22" s="394" t="s">
        <v>1156</v>
      </c>
      <c r="B22" s="394" t="s">
        <v>1107</v>
      </c>
      <c r="C22" s="394" t="s">
        <v>1108</v>
      </c>
      <c r="D22" s="394" t="s">
        <v>1098</v>
      </c>
      <c r="E22" s="394" t="s">
        <v>1132</v>
      </c>
      <c r="F22" s="393" t="str">
        <f t="shared" si="0"/>
        <v>215</v>
      </c>
      <c r="G22" s="393">
        <f t="shared" si="1"/>
        <v>215</v>
      </c>
      <c r="H22" s="394" t="s">
        <v>1157</v>
      </c>
    </row>
    <row r="23" spans="1:8">
      <c r="A23" s="394" t="s">
        <v>1158</v>
      </c>
      <c r="B23" s="394" t="s">
        <v>1128</v>
      </c>
      <c r="C23" s="394" t="s">
        <v>1097</v>
      </c>
      <c r="D23" s="394" t="s">
        <v>1098</v>
      </c>
      <c r="E23" s="394" t="s">
        <v>1159</v>
      </c>
      <c r="F23" s="393" t="str">
        <f t="shared" si="0"/>
        <v>173</v>
      </c>
      <c r="G23" s="393">
        <f t="shared" si="1"/>
        <v>173</v>
      </c>
      <c r="H23" s="394" t="s">
        <v>1160</v>
      </c>
    </row>
    <row r="24" spans="1:8">
      <c r="A24" s="394" t="s">
        <v>1161</v>
      </c>
      <c r="B24" s="394" t="s">
        <v>1107</v>
      </c>
      <c r="C24" s="394" t="s">
        <v>1097</v>
      </c>
      <c r="D24" s="394" t="s">
        <v>1098</v>
      </c>
      <c r="E24" s="394" t="s">
        <v>1162</v>
      </c>
      <c r="F24" s="393" t="str">
        <f t="shared" si="0"/>
        <v>210</v>
      </c>
      <c r="G24" s="393">
        <f t="shared" si="1"/>
        <v>210</v>
      </c>
      <c r="H24" s="394" t="s">
        <v>1163</v>
      </c>
    </row>
    <row r="25" spans="1:8">
      <c r="A25" s="394" t="s">
        <v>1164</v>
      </c>
      <c r="B25" s="394" t="s">
        <v>1096</v>
      </c>
      <c r="C25" s="394" t="s">
        <v>1097</v>
      </c>
      <c r="D25" s="394" t="s">
        <v>1098</v>
      </c>
      <c r="E25" s="394" t="s">
        <v>1165</v>
      </c>
      <c r="F25" s="393" t="str">
        <f t="shared" si="0"/>
        <v>210</v>
      </c>
      <c r="G25" s="393">
        <f t="shared" si="1"/>
        <v>210</v>
      </c>
      <c r="H25" s="394" t="s">
        <v>1166</v>
      </c>
    </row>
    <row r="26" spans="1:8">
      <c r="A26" s="394" t="s">
        <v>1167</v>
      </c>
      <c r="B26" s="394" t="s">
        <v>1168</v>
      </c>
      <c r="C26" s="394" t="s">
        <v>1102</v>
      </c>
      <c r="D26" s="394" t="s">
        <v>1103</v>
      </c>
      <c r="E26" s="394" t="s">
        <v>1169</v>
      </c>
      <c r="F26" s="393" t="str">
        <f t="shared" si="0"/>
        <v>218</v>
      </c>
      <c r="G26" s="393">
        <f t="shared" si="1"/>
        <v>218</v>
      </c>
      <c r="H26" s="394" t="s">
        <v>1170</v>
      </c>
    </row>
    <row r="27" spans="1:8">
      <c r="A27" s="394" t="s">
        <v>1171</v>
      </c>
      <c r="B27" s="394" t="s">
        <v>1096</v>
      </c>
      <c r="C27" s="394" t="s">
        <v>1108</v>
      </c>
      <c r="D27" s="394" t="s">
        <v>1109</v>
      </c>
      <c r="E27" s="394" t="s">
        <v>1172</v>
      </c>
      <c r="F27" s="393" t="str">
        <f t="shared" si="0"/>
        <v>195</v>
      </c>
      <c r="G27" s="393">
        <f t="shared" si="1"/>
        <v>195</v>
      </c>
      <c r="H27" s="394" t="s">
        <v>1173</v>
      </c>
    </row>
    <row r="28" spans="1:8">
      <c r="A28" s="394" t="s">
        <v>1174</v>
      </c>
      <c r="B28" s="394" t="s">
        <v>1107</v>
      </c>
      <c r="C28" s="394" t="s">
        <v>1102</v>
      </c>
      <c r="D28" s="394" t="s">
        <v>1175</v>
      </c>
      <c r="E28" s="394" t="s">
        <v>1176</v>
      </c>
      <c r="F28" s="393" t="str">
        <f t="shared" si="0"/>
        <v>196</v>
      </c>
      <c r="G28" s="393">
        <f t="shared" si="1"/>
        <v>196</v>
      </c>
      <c r="H28" s="394" t="s">
        <v>1177</v>
      </c>
    </row>
    <row r="29" spans="1:8">
      <c r="A29" s="394" t="s">
        <v>1178</v>
      </c>
      <c r="B29" s="394" t="s">
        <v>1179</v>
      </c>
      <c r="C29" s="394" t="s">
        <v>1097</v>
      </c>
      <c r="D29" s="394" t="s">
        <v>1098</v>
      </c>
      <c r="E29" s="394" t="s">
        <v>1114</v>
      </c>
      <c r="F29" s="393" t="str">
        <f t="shared" si="0"/>
        <v>211</v>
      </c>
      <c r="G29" s="393">
        <f t="shared" si="1"/>
        <v>211</v>
      </c>
      <c r="H29" s="394" t="s">
        <v>1180</v>
      </c>
    </row>
    <row r="30" spans="1:8">
      <c r="A30" s="394" t="s">
        <v>1181</v>
      </c>
      <c r="B30" s="394" t="s">
        <v>1096</v>
      </c>
      <c r="C30" s="394" t="s">
        <v>1108</v>
      </c>
      <c r="D30" s="394" t="s">
        <v>1153</v>
      </c>
      <c r="E30" s="394" t="s">
        <v>1182</v>
      </c>
      <c r="F30" s="393" t="str">
        <f t="shared" si="0"/>
        <v>174</v>
      </c>
      <c r="G30" s="393">
        <f t="shared" si="1"/>
        <v>174</v>
      </c>
      <c r="H30" s="394" t="s">
        <v>1183</v>
      </c>
    </row>
    <row r="31" spans="1:8">
      <c r="A31" s="394" t="s">
        <v>1184</v>
      </c>
      <c r="B31" s="394" t="s">
        <v>1113</v>
      </c>
      <c r="C31" s="394" t="s">
        <v>1097</v>
      </c>
      <c r="D31" s="394" t="s">
        <v>1098</v>
      </c>
      <c r="E31" s="394" t="s">
        <v>1185</v>
      </c>
      <c r="F31" s="393" t="str">
        <f t="shared" si="0"/>
        <v>204</v>
      </c>
      <c r="G31" s="393">
        <f t="shared" si="1"/>
        <v>204</v>
      </c>
      <c r="H31" s="394" t="s">
        <v>1186</v>
      </c>
    </row>
    <row r="32" spans="1:8">
      <c r="A32" s="394" t="s">
        <v>1187</v>
      </c>
      <c r="B32" s="394" t="s">
        <v>1128</v>
      </c>
      <c r="C32" s="394" t="s">
        <v>1102</v>
      </c>
      <c r="D32" s="394" t="s">
        <v>1103</v>
      </c>
      <c r="E32" s="394" t="s">
        <v>1188</v>
      </c>
      <c r="F32" s="393" t="str">
        <f t="shared" si="0"/>
        <v>209</v>
      </c>
      <c r="G32" s="393">
        <f t="shared" si="1"/>
        <v>209</v>
      </c>
      <c r="H32" s="394" t="s">
        <v>1189</v>
      </c>
    </row>
    <row r="33" spans="1:8">
      <c r="A33" s="394" t="s">
        <v>1190</v>
      </c>
      <c r="B33" s="394" t="s">
        <v>1107</v>
      </c>
      <c r="C33" s="394" t="s">
        <v>1097</v>
      </c>
      <c r="D33" s="394" t="s">
        <v>1098</v>
      </c>
      <c r="E33" s="394" t="s">
        <v>1191</v>
      </c>
      <c r="F33" s="393" t="str">
        <f t="shared" si="0"/>
        <v>201</v>
      </c>
      <c r="G33" s="393">
        <f t="shared" si="1"/>
        <v>201</v>
      </c>
      <c r="H33" s="394" t="s">
        <v>1192</v>
      </c>
    </row>
    <row r="34" spans="1:8">
      <c r="A34" s="394" t="s">
        <v>1193</v>
      </c>
      <c r="B34" s="394" t="s">
        <v>1096</v>
      </c>
      <c r="C34" s="394" t="s">
        <v>1102</v>
      </c>
      <c r="D34" s="394" t="s">
        <v>1103</v>
      </c>
      <c r="E34" s="394" t="s">
        <v>1194</v>
      </c>
      <c r="F34" s="393" t="str">
        <f t="shared" si="0"/>
        <v>192</v>
      </c>
      <c r="G34" s="393">
        <f t="shared" si="1"/>
        <v>192</v>
      </c>
      <c r="H34" s="394" t="s">
        <v>1195</v>
      </c>
    </row>
    <row r="35" spans="1:8">
      <c r="A35" s="394" t="s">
        <v>1196</v>
      </c>
      <c r="B35" s="394" t="s">
        <v>1113</v>
      </c>
      <c r="C35" s="394" t="s">
        <v>1097</v>
      </c>
      <c r="D35" s="394" t="s">
        <v>1098</v>
      </c>
      <c r="E35" s="394" t="s">
        <v>1197</v>
      </c>
      <c r="F35" s="393" t="str">
        <f t="shared" si="0"/>
        <v>179</v>
      </c>
      <c r="G35" s="393">
        <f t="shared" si="1"/>
        <v>179</v>
      </c>
      <c r="H35" s="394" t="s">
        <v>1198</v>
      </c>
    </row>
    <row r="36" spans="1:8">
      <c r="A36" s="394" t="s">
        <v>1199</v>
      </c>
      <c r="B36" s="394" t="s">
        <v>1107</v>
      </c>
      <c r="C36" s="394" t="s">
        <v>1108</v>
      </c>
      <c r="D36" s="394" t="s">
        <v>1153</v>
      </c>
      <c r="E36" s="394" t="s">
        <v>1165</v>
      </c>
      <c r="F36" s="393" t="str">
        <f t="shared" si="0"/>
        <v>210</v>
      </c>
      <c r="G36" s="393">
        <f t="shared" si="1"/>
        <v>210</v>
      </c>
      <c r="H36" s="394" t="s">
        <v>1200</v>
      </c>
    </row>
    <row r="37" spans="1:8">
      <c r="A37" s="394" t="s">
        <v>1201</v>
      </c>
      <c r="B37" s="394" t="s">
        <v>1202</v>
      </c>
      <c r="C37" s="394" t="s">
        <v>1102</v>
      </c>
      <c r="D37" s="394" t="s">
        <v>1103</v>
      </c>
      <c r="E37" s="394" t="s">
        <v>1203</v>
      </c>
      <c r="F37" s="393" t="str">
        <f t="shared" si="0"/>
        <v>200</v>
      </c>
      <c r="G37" s="393">
        <f t="shared" si="1"/>
        <v>200</v>
      </c>
      <c r="H37" s="394" t="s">
        <v>1204</v>
      </c>
    </row>
    <row r="38" spans="1:8">
      <c r="A38" s="394" t="s">
        <v>1205</v>
      </c>
      <c r="B38" s="394" t="s">
        <v>1113</v>
      </c>
      <c r="C38" s="394" t="s">
        <v>1108</v>
      </c>
      <c r="D38" s="394" t="s">
        <v>1153</v>
      </c>
      <c r="E38" s="394" t="s">
        <v>1206</v>
      </c>
      <c r="F38" s="393" t="str">
        <f t="shared" si="0"/>
        <v>197</v>
      </c>
      <c r="G38" s="393">
        <f t="shared" si="1"/>
        <v>197</v>
      </c>
      <c r="H38" s="394" t="s">
        <v>1207</v>
      </c>
    </row>
    <row r="39" spans="1:8">
      <c r="A39" s="394" t="s">
        <v>1208</v>
      </c>
      <c r="B39" s="394" t="s">
        <v>1209</v>
      </c>
      <c r="C39" s="394" t="s">
        <v>1091</v>
      </c>
      <c r="D39" s="394" t="s">
        <v>1092</v>
      </c>
      <c r="E39" s="394" t="s">
        <v>1210</v>
      </c>
      <c r="F39" s="393" t="str">
        <f t="shared" si="0"/>
        <v>217</v>
      </c>
      <c r="G39" s="393">
        <f t="shared" si="1"/>
        <v>217</v>
      </c>
      <c r="H39" s="394" t="s">
        <v>1211</v>
      </c>
    </row>
    <row r="40" spans="1:8">
      <c r="A40" s="394" t="s">
        <v>1212</v>
      </c>
      <c r="B40" s="394" t="s">
        <v>1209</v>
      </c>
      <c r="C40" s="394" t="s">
        <v>1108</v>
      </c>
      <c r="D40" s="394" t="s">
        <v>1109</v>
      </c>
      <c r="E40" s="394" t="s">
        <v>1213</v>
      </c>
      <c r="F40" s="393" t="str">
        <f t="shared" si="0"/>
        <v>226</v>
      </c>
      <c r="G40" s="393">
        <f t="shared" si="1"/>
        <v>226</v>
      </c>
      <c r="H40" s="394" t="s">
        <v>1214</v>
      </c>
    </row>
    <row r="41" spans="1:8">
      <c r="A41" s="394" t="s">
        <v>1215</v>
      </c>
      <c r="B41" s="394" t="s">
        <v>1107</v>
      </c>
      <c r="C41" s="394" t="s">
        <v>1091</v>
      </c>
      <c r="D41" s="394" t="s">
        <v>1092</v>
      </c>
      <c r="E41" s="394" t="s">
        <v>1216</v>
      </c>
      <c r="F41" s="393" t="str">
        <f t="shared" si="0"/>
        <v>200</v>
      </c>
      <c r="G41" s="393">
        <f t="shared" si="1"/>
        <v>200</v>
      </c>
      <c r="H41" s="394" t="s">
        <v>1217</v>
      </c>
    </row>
    <row r="42" spans="1:8">
      <c r="A42" s="394" t="s">
        <v>1218</v>
      </c>
      <c r="B42" s="394" t="s">
        <v>1209</v>
      </c>
      <c r="C42" s="394" t="s">
        <v>1108</v>
      </c>
      <c r="D42" s="394" t="s">
        <v>1153</v>
      </c>
      <c r="E42" s="394" t="s">
        <v>1219</v>
      </c>
      <c r="F42" s="393" t="str">
        <f t="shared" si="0"/>
        <v>226</v>
      </c>
      <c r="G42" s="393">
        <f t="shared" si="1"/>
        <v>226</v>
      </c>
      <c r="H42" s="394" t="s">
        <v>1220</v>
      </c>
    </row>
    <row r="43" spans="1:8">
      <c r="A43" s="394" t="s">
        <v>1221</v>
      </c>
      <c r="B43" s="394" t="s">
        <v>1222</v>
      </c>
      <c r="C43" s="394" t="s">
        <v>1102</v>
      </c>
      <c r="D43" s="394" t="s">
        <v>1103</v>
      </c>
      <c r="E43" s="394" t="s">
        <v>1223</v>
      </c>
      <c r="F43" s="393" t="str">
        <f t="shared" si="0"/>
        <v>219</v>
      </c>
      <c r="G43" s="393">
        <f t="shared" si="1"/>
        <v>219</v>
      </c>
      <c r="H43" s="394" t="s">
        <v>1224</v>
      </c>
    </row>
    <row r="44" spans="1:8">
      <c r="A44" s="394" t="s">
        <v>1225</v>
      </c>
      <c r="B44" s="394" t="s">
        <v>1107</v>
      </c>
      <c r="C44" s="394" t="s">
        <v>1102</v>
      </c>
      <c r="D44" s="394" t="s">
        <v>1103</v>
      </c>
      <c r="E44" s="394" t="s">
        <v>1132</v>
      </c>
      <c r="F44" s="393" t="str">
        <f t="shared" si="0"/>
        <v>215</v>
      </c>
      <c r="G44" s="393">
        <f t="shared" si="1"/>
        <v>215</v>
      </c>
      <c r="H44" s="394" t="s">
        <v>1226</v>
      </c>
    </row>
    <row r="45" spans="1:8">
      <c r="A45" s="394" t="s">
        <v>1227</v>
      </c>
      <c r="B45" s="394" t="s">
        <v>275</v>
      </c>
      <c r="C45" s="394" t="s">
        <v>1102</v>
      </c>
      <c r="D45" s="394" t="s">
        <v>1103</v>
      </c>
      <c r="E45" s="394" t="s">
        <v>1228</v>
      </c>
      <c r="F45" s="393" t="str">
        <f t="shared" si="0"/>
        <v>264</v>
      </c>
      <c r="G45" s="393">
        <f t="shared" si="1"/>
        <v>264</v>
      </c>
      <c r="H45" s="394" t="s">
        <v>1229</v>
      </c>
    </row>
    <row r="46" spans="1:8">
      <c r="A46" s="394" t="s">
        <v>1230</v>
      </c>
      <c r="B46" s="394" t="s">
        <v>1231</v>
      </c>
      <c r="C46" s="394" t="s">
        <v>1097</v>
      </c>
      <c r="D46" s="394" t="s">
        <v>1098</v>
      </c>
      <c r="E46" s="394" t="s">
        <v>1232</v>
      </c>
      <c r="F46" s="393" t="str">
        <f t="shared" si="0"/>
        <v>213</v>
      </c>
      <c r="G46" s="393">
        <f t="shared" si="1"/>
        <v>213</v>
      </c>
      <c r="H46" s="394" t="s">
        <v>1233</v>
      </c>
    </row>
    <row r="47" spans="1:8">
      <c r="A47" s="394" t="s">
        <v>1234</v>
      </c>
      <c r="B47" s="394" t="s">
        <v>1209</v>
      </c>
      <c r="C47" s="394" t="s">
        <v>1102</v>
      </c>
      <c r="D47" s="394" t="s">
        <v>1103</v>
      </c>
      <c r="E47" s="394" t="s">
        <v>1235</v>
      </c>
      <c r="F47" s="393" t="str">
        <f t="shared" si="0"/>
        <v>230</v>
      </c>
      <c r="G47" s="393">
        <f t="shared" si="1"/>
        <v>230</v>
      </c>
      <c r="H47" s="394" t="s">
        <v>1236</v>
      </c>
    </row>
    <row r="48" spans="1:8">
      <c r="A48" s="394" t="s">
        <v>1237</v>
      </c>
      <c r="B48" s="394" t="s">
        <v>275</v>
      </c>
      <c r="C48" s="394" t="s">
        <v>1108</v>
      </c>
      <c r="D48" s="394" t="s">
        <v>1109</v>
      </c>
      <c r="E48" s="394" t="s">
        <v>1238</v>
      </c>
      <c r="F48" s="393" t="str">
        <f t="shared" si="0"/>
        <v>258</v>
      </c>
      <c r="G48" s="393">
        <f t="shared" si="1"/>
        <v>258</v>
      </c>
      <c r="H48" s="394" t="s">
        <v>1239</v>
      </c>
    </row>
    <row r="49" spans="1:8">
      <c r="A49" s="394" t="s">
        <v>1240</v>
      </c>
      <c r="B49" s="394" t="s">
        <v>1231</v>
      </c>
      <c r="C49" s="394" t="s">
        <v>1102</v>
      </c>
      <c r="D49" s="394" t="s">
        <v>1098</v>
      </c>
      <c r="E49" s="394" t="s">
        <v>1241</v>
      </c>
      <c r="F49" s="393" t="str">
        <f t="shared" si="0"/>
        <v>240</v>
      </c>
      <c r="G49" s="393">
        <f t="shared" si="1"/>
        <v>240</v>
      </c>
      <c r="H49" s="394" t="s">
        <v>1147</v>
      </c>
    </row>
    <row r="50" spans="1:8">
      <c r="A50" s="394" t="s">
        <v>1242</v>
      </c>
      <c r="B50" s="394" t="s">
        <v>1222</v>
      </c>
      <c r="C50" s="394" t="s">
        <v>1097</v>
      </c>
      <c r="D50" s="394" t="s">
        <v>1098</v>
      </c>
      <c r="E50" s="394" t="s">
        <v>1243</v>
      </c>
      <c r="F50" s="393" t="str">
        <f t="shared" si="0"/>
        <v>217</v>
      </c>
      <c r="G50" s="393">
        <f t="shared" si="1"/>
        <v>217</v>
      </c>
      <c r="H50" s="394" t="s">
        <v>1115</v>
      </c>
    </row>
    <row r="51" spans="1:8">
      <c r="A51" s="394" t="s">
        <v>1244</v>
      </c>
      <c r="B51" s="394" t="s">
        <v>1128</v>
      </c>
      <c r="C51" s="394" t="s">
        <v>1108</v>
      </c>
      <c r="D51" s="394" t="s">
        <v>1103</v>
      </c>
      <c r="E51" s="394" t="s">
        <v>1245</v>
      </c>
      <c r="F51" s="393" t="str">
        <f t="shared" si="0"/>
        <v>198</v>
      </c>
      <c r="G51" s="393">
        <f t="shared" si="1"/>
        <v>198</v>
      </c>
      <c r="H51" s="394" t="s">
        <v>1246</v>
      </c>
    </row>
    <row r="52" spans="1:8">
      <c r="A52" s="394" t="s">
        <v>1247</v>
      </c>
      <c r="B52" s="394" t="s">
        <v>1209</v>
      </c>
      <c r="C52" s="394" t="s">
        <v>1097</v>
      </c>
      <c r="D52" s="394" t="s">
        <v>1098</v>
      </c>
      <c r="E52" s="394" t="s">
        <v>1248</v>
      </c>
      <c r="F52" s="393" t="str">
        <f t="shared" si="0"/>
        <v>197</v>
      </c>
      <c r="G52" s="393">
        <f t="shared" si="1"/>
        <v>197</v>
      </c>
      <c r="H52" s="394" t="s">
        <v>1249</v>
      </c>
    </row>
    <row r="53" spans="1:8">
      <c r="A53" s="394" t="s">
        <v>1250</v>
      </c>
      <c r="B53" s="394" t="s">
        <v>1231</v>
      </c>
      <c r="C53" s="394" t="s">
        <v>1108</v>
      </c>
      <c r="D53" s="394" t="s">
        <v>1153</v>
      </c>
      <c r="E53" s="394" t="s">
        <v>1251</v>
      </c>
      <c r="F53" s="393" t="str">
        <f t="shared" si="0"/>
        <v>242</v>
      </c>
      <c r="G53" s="393">
        <f t="shared" si="1"/>
        <v>242</v>
      </c>
      <c r="H53" s="394" t="s">
        <v>1252</v>
      </c>
    </row>
    <row r="54" spans="1:8">
      <c r="A54" s="394" t="s">
        <v>1253</v>
      </c>
      <c r="B54" s="394" t="s">
        <v>1231</v>
      </c>
      <c r="C54" s="394" t="s">
        <v>1108</v>
      </c>
      <c r="D54" s="394" t="s">
        <v>1153</v>
      </c>
      <c r="E54" s="394" t="s">
        <v>1254</v>
      </c>
      <c r="F54" s="393" t="str">
        <f t="shared" si="0"/>
        <v>246</v>
      </c>
      <c r="G54" s="393">
        <f t="shared" si="1"/>
        <v>246</v>
      </c>
      <c r="H54" s="394" t="s">
        <v>1255</v>
      </c>
    </row>
    <row r="55" spans="1:8">
      <c r="A55" s="394" t="s">
        <v>1256</v>
      </c>
      <c r="B55" s="394" t="s">
        <v>1222</v>
      </c>
      <c r="C55" s="394" t="s">
        <v>1108</v>
      </c>
      <c r="D55" s="394" t="s">
        <v>1153</v>
      </c>
      <c r="E55" s="394" t="s">
        <v>1257</v>
      </c>
      <c r="F55" s="393" t="str">
        <f t="shared" si="0"/>
        <v>257</v>
      </c>
      <c r="G55" s="393">
        <f t="shared" si="1"/>
        <v>257</v>
      </c>
      <c r="H55" s="394" t="s">
        <v>1226</v>
      </c>
    </row>
    <row r="56" spans="1:8">
      <c r="A56" s="394" t="s">
        <v>1258</v>
      </c>
      <c r="B56" s="394" t="s">
        <v>1222</v>
      </c>
      <c r="C56" s="394" t="s">
        <v>1108</v>
      </c>
      <c r="D56" s="394" t="s">
        <v>1153</v>
      </c>
      <c r="E56" s="394" t="s">
        <v>1259</v>
      </c>
      <c r="F56" s="393" t="str">
        <f t="shared" si="0"/>
        <v>228</v>
      </c>
      <c r="G56" s="393">
        <f t="shared" si="1"/>
        <v>228</v>
      </c>
      <c r="H56" s="394" t="s">
        <v>1260</v>
      </c>
    </row>
    <row r="57" spans="1:8">
      <c r="A57" s="394" t="s">
        <v>1261</v>
      </c>
      <c r="B57" s="394" t="s">
        <v>1209</v>
      </c>
      <c r="C57" s="394" t="s">
        <v>1108</v>
      </c>
      <c r="D57" s="394" t="s">
        <v>1153</v>
      </c>
      <c r="E57" s="394" t="s">
        <v>1262</v>
      </c>
      <c r="F57" s="393" t="str">
        <f t="shared" si="0"/>
        <v>233</v>
      </c>
      <c r="G57" s="393">
        <f t="shared" si="1"/>
        <v>233</v>
      </c>
      <c r="H57" s="394" t="s">
        <v>1263</v>
      </c>
    </row>
    <row r="58" spans="1:8">
      <c r="A58" s="394" t="s">
        <v>1264</v>
      </c>
      <c r="B58" s="394" t="s">
        <v>275</v>
      </c>
      <c r="C58" s="394" t="s">
        <v>1097</v>
      </c>
      <c r="D58" s="394" t="s">
        <v>1098</v>
      </c>
      <c r="E58" s="394" t="s">
        <v>1265</v>
      </c>
      <c r="F58" s="393" t="str">
        <f t="shared" si="0"/>
        <v>258</v>
      </c>
      <c r="G58" s="393">
        <f t="shared" si="1"/>
        <v>258</v>
      </c>
      <c r="H58" s="394" t="s">
        <v>1266</v>
      </c>
    </row>
    <row r="59" spans="1:8">
      <c r="A59" s="394" t="s">
        <v>1267</v>
      </c>
      <c r="B59" s="394" t="s">
        <v>1268</v>
      </c>
      <c r="C59" s="394" t="s">
        <v>1102</v>
      </c>
      <c r="D59" s="394" t="s">
        <v>1103</v>
      </c>
      <c r="E59" s="394" t="s">
        <v>1269</v>
      </c>
      <c r="F59" s="393" t="str">
        <f t="shared" si="0"/>
        <v>335</v>
      </c>
      <c r="G59" s="393">
        <f t="shared" si="1"/>
        <v>335</v>
      </c>
      <c r="H59" s="394" t="s">
        <v>1270</v>
      </c>
    </row>
    <row r="60" spans="1:8">
      <c r="A60" s="394" t="s">
        <v>1271</v>
      </c>
      <c r="B60" s="394" t="s">
        <v>1090</v>
      </c>
      <c r="C60" s="394" t="s">
        <v>1091</v>
      </c>
      <c r="D60" s="394" t="s">
        <v>1092</v>
      </c>
      <c r="E60" s="394" t="s">
        <v>1272</v>
      </c>
      <c r="F60" s="393" t="str">
        <f t="shared" si="0"/>
        <v>294</v>
      </c>
      <c r="G60" s="393">
        <f t="shared" si="1"/>
        <v>294</v>
      </c>
      <c r="H60" s="394" t="s">
        <v>1273</v>
      </c>
    </row>
    <row r="61" spans="1:8">
      <c r="A61" s="394" t="s">
        <v>1274</v>
      </c>
      <c r="B61" s="394" t="s">
        <v>1209</v>
      </c>
      <c r="C61" s="394" t="s">
        <v>1097</v>
      </c>
      <c r="D61" s="394" t="s">
        <v>1098</v>
      </c>
      <c r="E61" s="394" t="s">
        <v>1132</v>
      </c>
      <c r="F61" s="393" t="str">
        <f t="shared" si="0"/>
        <v>215</v>
      </c>
      <c r="G61" s="393">
        <f t="shared" si="1"/>
        <v>215</v>
      </c>
      <c r="H61" s="394" t="s">
        <v>1275</v>
      </c>
    </row>
    <row r="62" spans="1:8">
      <c r="A62" s="394" t="s">
        <v>1276</v>
      </c>
      <c r="B62" s="394" t="s">
        <v>1277</v>
      </c>
      <c r="C62" s="394" t="s">
        <v>1108</v>
      </c>
      <c r="D62" s="394" t="s">
        <v>1109</v>
      </c>
      <c r="E62" s="394" t="s">
        <v>1278</v>
      </c>
      <c r="F62" s="393" t="str">
        <f t="shared" si="0"/>
        <v>290</v>
      </c>
      <c r="G62" s="393">
        <f t="shared" si="1"/>
        <v>290</v>
      </c>
      <c r="H62" s="394" t="s">
        <v>1279</v>
      </c>
    </row>
    <row r="63" spans="1:8">
      <c r="A63" s="394" t="s">
        <v>1280</v>
      </c>
      <c r="B63" s="394" t="s">
        <v>1202</v>
      </c>
      <c r="C63" s="394" t="s">
        <v>1102</v>
      </c>
      <c r="D63" s="394" t="s">
        <v>1103</v>
      </c>
      <c r="E63" s="394" t="s">
        <v>1281</v>
      </c>
      <c r="F63" s="393" t="str">
        <f t="shared" si="0"/>
        <v>189</v>
      </c>
      <c r="G63" s="393">
        <f t="shared" si="1"/>
        <v>189</v>
      </c>
      <c r="H63" s="394" t="s">
        <v>1282</v>
      </c>
    </row>
    <row r="64" spans="1:8">
      <c r="A64" s="394" t="s">
        <v>1283</v>
      </c>
      <c r="B64" s="394" t="s">
        <v>275</v>
      </c>
      <c r="C64" s="394" t="s">
        <v>1108</v>
      </c>
      <c r="D64" s="394" t="s">
        <v>1153</v>
      </c>
      <c r="E64" s="394" t="s">
        <v>1284</v>
      </c>
      <c r="F64" s="393" t="str">
        <f t="shared" si="0"/>
        <v>274</v>
      </c>
      <c r="G64" s="393">
        <f t="shared" si="1"/>
        <v>274</v>
      </c>
      <c r="H64" s="394" t="s">
        <v>1285</v>
      </c>
    </row>
    <row r="65" spans="1:8">
      <c r="A65" s="394" t="s">
        <v>1286</v>
      </c>
      <c r="B65" s="394" t="s">
        <v>1090</v>
      </c>
      <c r="C65" s="394" t="s">
        <v>1108</v>
      </c>
      <c r="D65" s="394" t="s">
        <v>1153</v>
      </c>
      <c r="E65" s="394" t="s">
        <v>1287</v>
      </c>
      <c r="F65" s="393" t="str">
        <f t="shared" si="0"/>
        <v>277</v>
      </c>
      <c r="G65" s="393">
        <f t="shared" si="1"/>
        <v>277</v>
      </c>
      <c r="H65" s="394" t="s">
        <v>1288</v>
      </c>
    </row>
    <row r="66" spans="1:8">
      <c r="A66" s="394" t="s">
        <v>1289</v>
      </c>
      <c r="B66" s="394" t="s">
        <v>1290</v>
      </c>
      <c r="C66" s="394" t="s">
        <v>1108</v>
      </c>
      <c r="D66" s="394" t="s">
        <v>1153</v>
      </c>
      <c r="E66" s="394" t="s">
        <v>1291</v>
      </c>
      <c r="F66" s="393" t="str">
        <f t="shared" si="0"/>
        <v>304</v>
      </c>
      <c r="G66" s="393">
        <f t="shared" si="1"/>
        <v>304</v>
      </c>
      <c r="H66" s="394" t="s">
        <v>1292</v>
      </c>
    </row>
    <row r="67" spans="1:8">
      <c r="A67" s="394" t="s">
        <v>1293</v>
      </c>
      <c r="B67" s="394" t="s">
        <v>15</v>
      </c>
      <c r="C67" s="394" t="s">
        <v>1102</v>
      </c>
      <c r="D67" s="394" t="s">
        <v>1103</v>
      </c>
      <c r="E67" s="394" t="s">
        <v>1294</v>
      </c>
      <c r="F67" s="393" t="str">
        <f t="shared" si="0"/>
        <v>298</v>
      </c>
      <c r="G67" s="393">
        <f t="shared" si="1"/>
        <v>298</v>
      </c>
      <c r="H67" s="394" t="s">
        <v>1295</v>
      </c>
    </row>
    <row r="68" spans="1:8">
      <c r="A68" s="394" t="s">
        <v>1296</v>
      </c>
      <c r="B68" s="394" t="s">
        <v>1268</v>
      </c>
      <c r="C68" s="394" t="s">
        <v>1108</v>
      </c>
      <c r="D68" s="394" t="s">
        <v>1153</v>
      </c>
      <c r="E68" s="394" t="s">
        <v>1297</v>
      </c>
      <c r="F68" s="393" t="str">
        <f t="shared" si="0"/>
        <v>295</v>
      </c>
      <c r="G68" s="393">
        <f t="shared" si="1"/>
        <v>295</v>
      </c>
      <c r="H68" s="394" t="s">
        <v>1298</v>
      </c>
    </row>
    <row r="69" spans="1:8">
      <c r="A69" s="394" t="s">
        <v>1299</v>
      </c>
      <c r="B69" s="394" t="s">
        <v>275</v>
      </c>
      <c r="C69" s="394" t="s">
        <v>1102</v>
      </c>
      <c r="D69" s="394" t="s">
        <v>1103</v>
      </c>
      <c r="E69" s="394" t="s">
        <v>1300</v>
      </c>
      <c r="F69" s="393" t="str">
        <f t="shared" si="0"/>
        <v>212</v>
      </c>
      <c r="G69" s="393">
        <f t="shared" si="1"/>
        <v>212</v>
      </c>
      <c r="H69" s="394" t="s">
        <v>1301</v>
      </c>
    </row>
    <row r="70" spans="1:8">
      <c r="A70" s="394" t="s">
        <v>1302</v>
      </c>
      <c r="B70" s="394" t="s">
        <v>15</v>
      </c>
      <c r="C70" s="394" t="s">
        <v>1091</v>
      </c>
      <c r="D70" s="394" t="s">
        <v>1092</v>
      </c>
      <c r="E70" s="394" t="s">
        <v>1297</v>
      </c>
      <c r="F70" s="393" t="str">
        <f t="shared" ref="F70:F103" si="2">RIGHT(E70,3)</f>
        <v>295</v>
      </c>
      <c r="G70" s="393">
        <f t="shared" ref="G70:G103" si="3">VALUE(F70)</f>
        <v>295</v>
      </c>
      <c r="H70" s="394" t="s">
        <v>1303</v>
      </c>
    </row>
    <row r="71" spans="1:8">
      <c r="A71" s="394" t="s">
        <v>1304</v>
      </c>
      <c r="B71" s="394" t="s">
        <v>1090</v>
      </c>
      <c r="C71" s="394" t="s">
        <v>1097</v>
      </c>
      <c r="D71" s="394" t="s">
        <v>1098</v>
      </c>
      <c r="E71" s="394" t="s">
        <v>1305</v>
      </c>
      <c r="F71" s="393" t="str">
        <f t="shared" si="2"/>
        <v>298</v>
      </c>
      <c r="G71" s="393">
        <f t="shared" si="3"/>
        <v>298</v>
      </c>
      <c r="H71" s="394" t="s">
        <v>1306</v>
      </c>
    </row>
    <row r="72" spans="1:8">
      <c r="A72" s="394" t="s">
        <v>1307</v>
      </c>
      <c r="B72" s="394" t="s">
        <v>275</v>
      </c>
      <c r="C72" s="394" t="s">
        <v>1102</v>
      </c>
      <c r="D72" s="394" t="s">
        <v>1098</v>
      </c>
      <c r="E72" s="394" t="s">
        <v>1308</v>
      </c>
      <c r="F72" s="393" t="str">
        <f t="shared" si="2"/>
        <v>230</v>
      </c>
      <c r="G72" s="393">
        <f t="shared" si="3"/>
        <v>230</v>
      </c>
      <c r="H72" s="394" t="s">
        <v>1309</v>
      </c>
    </row>
    <row r="73" spans="1:8">
      <c r="A73" s="394" t="s">
        <v>1310</v>
      </c>
      <c r="B73" s="394" t="s">
        <v>1311</v>
      </c>
      <c r="C73" s="394" t="s">
        <v>1091</v>
      </c>
      <c r="D73" s="394" t="s">
        <v>1092</v>
      </c>
      <c r="E73" s="394" t="s">
        <v>1312</v>
      </c>
      <c r="F73" s="393" t="str">
        <f t="shared" si="2"/>
        <v>291</v>
      </c>
      <c r="G73" s="393">
        <f t="shared" si="3"/>
        <v>291</v>
      </c>
      <c r="H73" s="394" t="s">
        <v>1313</v>
      </c>
    </row>
    <row r="74" spans="1:8">
      <c r="A74" s="394" t="s">
        <v>1314</v>
      </c>
      <c r="B74" s="394" t="s">
        <v>1090</v>
      </c>
      <c r="C74" s="394" t="s">
        <v>1097</v>
      </c>
      <c r="D74" s="394" t="s">
        <v>1098</v>
      </c>
      <c r="E74" s="394" t="s">
        <v>1315</v>
      </c>
      <c r="F74" s="393" t="str">
        <f t="shared" si="2"/>
        <v>310</v>
      </c>
      <c r="G74" s="393">
        <f t="shared" si="3"/>
        <v>310</v>
      </c>
      <c r="H74" s="394" t="s">
        <v>1316</v>
      </c>
    </row>
    <row r="75" spans="1:8">
      <c r="A75" s="394" t="s">
        <v>1317</v>
      </c>
      <c r="B75" s="394" t="s">
        <v>1290</v>
      </c>
      <c r="C75" s="394" t="s">
        <v>1102</v>
      </c>
      <c r="D75" s="394" t="s">
        <v>1103</v>
      </c>
      <c r="E75" s="394" t="s">
        <v>1318</v>
      </c>
      <c r="F75" s="393" t="str">
        <f t="shared" si="2"/>
        <v>329</v>
      </c>
      <c r="G75" s="393">
        <f t="shared" si="3"/>
        <v>329</v>
      </c>
      <c r="H75" s="394" t="s">
        <v>1319</v>
      </c>
    </row>
    <row r="76" spans="1:8">
      <c r="A76" s="394" t="s">
        <v>1320</v>
      </c>
      <c r="B76" s="394" t="s">
        <v>1290</v>
      </c>
      <c r="C76" s="394" t="s">
        <v>1108</v>
      </c>
      <c r="D76" s="394" t="s">
        <v>1109</v>
      </c>
      <c r="E76" s="394" t="s">
        <v>1321</v>
      </c>
      <c r="F76" s="393" t="str">
        <f t="shared" si="2"/>
        <v>325</v>
      </c>
      <c r="G76" s="393">
        <f t="shared" si="3"/>
        <v>325</v>
      </c>
      <c r="H76" s="394" t="s">
        <v>1322</v>
      </c>
    </row>
    <row r="77" spans="1:8">
      <c r="A77" s="394" t="s">
        <v>1323</v>
      </c>
      <c r="B77" s="394" t="s">
        <v>275</v>
      </c>
      <c r="C77" s="394" t="s">
        <v>1108</v>
      </c>
      <c r="D77" s="394" t="s">
        <v>1153</v>
      </c>
      <c r="E77" s="394" t="s">
        <v>1324</v>
      </c>
      <c r="F77" s="393" t="str">
        <f t="shared" si="2"/>
        <v>276</v>
      </c>
      <c r="G77" s="393">
        <f t="shared" si="3"/>
        <v>276</v>
      </c>
      <c r="H77" s="394" t="s">
        <v>1325</v>
      </c>
    </row>
    <row r="78" spans="1:8">
      <c r="A78" s="394" t="s">
        <v>1326</v>
      </c>
      <c r="B78" s="394" t="s">
        <v>1268</v>
      </c>
      <c r="C78" s="394" t="s">
        <v>1102</v>
      </c>
      <c r="D78" s="394" t="s">
        <v>1103</v>
      </c>
      <c r="E78" s="394" t="s">
        <v>1327</v>
      </c>
      <c r="F78" s="393" t="str">
        <f t="shared" si="2"/>
        <v>310</v>
      </c>
      <c r="G78" s="393">
        <f t="shared" si="3"/>
        <v>310</v>
      </c>
      <c r="H78" s="394" t="s">
        <v>1328</v>
      </c>
    </row>
    <row r="79" spans="1:8">
      <c r="A79" s="394" t="s">
        <v>1329</v>
      </c>
      <c r="B79" s="394" t="s">
        <v>1290</v>
      </c>
      <c r="C79" s="394" t="s">
        <v>1097</v>
      </c>
      <c r="D79" s="394" t="s">
        <v>1103</v>
      </c>
      <c r="E79" s="394" t="s">
        <v>1330</v>
      </c>
      <c r="F79" s="393" t="str">
        <f t="shared" si="2"/>
        <v>305</v>
      </c>
      <c r="G79" s="393">
        <f t="shared" si="3"/>
        <v>305</v>
      </c>
      <c r="H79" s="394" t="s">
        <v>1331</v>
      </c>
    </row>
    <row r="80" spans="1:8">
      <c r="A80" s="394" t="s">
        <v>1332</v>
      </c>
      <c r="B80" s="394" t="s">
        <v>1290</v>
      </c>
      <c r="C80" s="394" t="s">
        <v>1108</v>
      </c>
      <c r="D80" s="394" t="s">
        <v>1153</v>
      </c>
      <c r="E80" s="394" t="s">
        <v>1333</v>
      </c>
      <c r="F80" s="393" t="str">
        <f t="shared" si="2"/>
        <v>305</v>
      </c>
      <c r="G80" s="393">
        <f t="shared" si="3"/>
        <v>305</v>
      </c>
      <c r="H80" s="394" t="s">
        <v>1334</v>
      </c>
    </row>
    <row r="81" spans="1:8">
      <c r="A81" s="394" t="s">
        <v>1335</v>
      </c>
      <c r="B81" s="394" t="s">
        <v>1268</v>
      </c>
      <c r="C81" s="394" t="s">
        <v>1102</v>
      </c>
      <c r="D81" s="394" t="s">
        <v>1103</v>
      </c>
      <c r="E81" s="394" t="s">
        <v>1336</v>
      </c>
      <c r="F81" s="393" t="str">
        <f t="shared" si="2"/>
        <v>328</v>
      </c>
      <c r="G81" s="393">
        <f t="shared" si="3"/>
        <v>328</v>
      </c>
      <c r="H81" s="394" t="s">
        <v>1337</v>
      </c>
    </row>
    <row r="82" spans="1:8">
      <c r="A82" s="394" t="s">
        <v>1338</v>
      </c>
      <c r="B82" s="394" t="s">
        <v>1128</v>
      </c>
      <c r="C82" s="394" t="s">
        <v>1102</v>
      </c>
      <c r="D82" s="394" t="s">
        <v>1103</v>
      </c>
      <c r="E82" s="394" t="s">
        <v>1110</v>
      </c>
      <c r="F82" s="393" t="str">
        <f t="shared" si="2"/>
        <v>197</v>
      </c>
      <c r="G82" s="393">
        <f t="shared" si="3"/>
        <v>197</v>
      </c>
      <c r="H82" s="394" t="s">
        <v>1339</v>
      </c>
    </row>
    <row r="83" spans="1:8">
      <c r="A83" s="394" t="s">
        <v>1340</v>
      </c>
      <c r="B83" s="394" t="s">
        <v>1124</v>
      </c>
      <c r="C83" s="394" t="s">
        <v>1102</v>
      </c>
      <c r="D83" s="394" t="s">
        <v>1103</v>
      </c>
      <c r="E83" s="394" t="s">
        <v>1341</v>
      </c>
      <c r="F83" s="393" t="str">
        <f t="shared" si="2"/>
        <v>234</v>
      </c>
      <c r="G83" s="393">
        <f t="shared" si="3"/>
        <v>234</v>
      </c>
      <c r="H83" s="394" t="s">
        <v>1122</v>
      </c>
    </row>
    <row r="84" spans="1:8">
      <c r="A84" s="394" t="s">
        <v>1342</v>
      </c>
      <c r="B84" s="394" t="s">
        <v>1128</v>
      </c>
      <c r="C84" s="394" t="s">
        <v>1108</v>
      </c>
      <c r="D84" s="394" t="s">
        <v>1153</v>
      </c>
      <c r="E84" s="394" t="s">
        <v>1343</v>
      </c>
      <c r="F84" s="393" t="str">
        <f t="shared" si="2"/>
        <v>202</v>
      </c>
      <c r="G84" s="393">
        <f t="shared" si="3"/>
        <v>202</v>
      </c>
      <c r="H84" s="394" t="s">
        <v>1344</v>
      </c>
    </row>
    <row r="85" spans="1:8">
      <c r="A85" s="394" t="s">
        <v>1345</v>
      </c>
      <c r="B85" s="394" t="s">
        <v>275</v>
      </c>
      <c r="C85" s="394" t="s">
        <v>1097</v>
      </c>
      <c r="D85" s="394" t="s">
        <v>1098</v>
      </c>
      <c r="E85" s="394" t="s">
        <v>1346</v>
      </c>
      <c r="F85" s="393" t="str">
        <f t="shared" si="2"/>
        <v>247</v>
      </c>
      <c r="G85" s="393">
        <f t="shared" si="3"/>
        <v>247</v>
      </c>
      <c r="H85" s="394" t="s">
        <v>1347</v>
      </c>
    </row>
    <row r="86" spans="1:8">
      <c r="A86" s="394" t="s">
        <v>1348</v>
      </c>
      <c r="B86" s="394" t="s">
        <v>1124</v>
      </c>
      <c r="C86" s="394" t="s">
        <v>1091</v>
      </c>
      <c r="D86" s="394" t="s">
        <v>1092</v>
      </c>
      <c r="E86" s="394" t="s">
        <v>1349</v>
      </c>
      <c r="F86" s="393" t="str">
        <f t="shared" si="2"/>
        <v>231</v>
      </c>
      <c r="G86" s="393">
        <f t="shared" si="3"/>
        <v>231</v>
      </c>
      <c r="H86" s="394" t="s">
        <v>1350</v>
      </c>
    </row>
    <row r="87" spans="1:8">
      <c r="A87" s="394" t="s">
        <v>1351</v>
      </c>
      <c r="B87" s="394" t="s">
        <v>1277</v>
      </c>
      <c r="C87" s="394" t="s">
        <v>1091</v>
      </c>
      <c r="D87" s="394" t="s">
        <v>1092</v>
      </c>
      <c r="E87" s="394" t="s">
        <v>1297</v>
      </c>
      <c r="F87" s="393" t="str">
        <f t="shared" si="2"/>
        <v>295</v>
      </c>
      <c r="G87" s="393">
        <f t="shared" si="3"/>
        <v>295</v>
      </c>
      <c r="H87" s="394" t="s">
        <v>1352</v>
      </c>
    </row>
    <row r="88" spans="1:8">
      <c r="A88" s="394" t="s">
        <v>1353</v>
      </c>
      <c r="B88" s="394" t="s">
        <v>1124</v>
      </c>
      <c r="C88" s="394" t="s">
        <v>1108</v>
      </c>
      <c r="D88" s="394" t="s">
        <v>1098</v>
      </c>
      <c r="E88" s="394" t="s">
        <v>1354</v>
      </c>
      <c r="F88" s="393" t="str">
        <f t="shared" si="2"/>
        <v>258</v>
      </c>
      <c r="G88" s="393">
        <f t="shared" si="3"/>
        <v>258</v>
      </c>
      <c r="H88" s="394" t="s">
        <v>1355</v>
      </c>
    </row>
    <row r="89" spans="1:8">
      <c r="A89" s="394" t="s">
        <v>1356</v>
      </c>
      <c r="B89" s="394" t="s">
        <v>275</v>
      </c>
      <c r="C89" s="394" t="s">
        <v>1091</v>
      </c>
      <c r="D89" s="394" t="s">
        <v>1092</v>
      </c>
      <c r="E89" s="394" t="s">
        <v>1357</v>
      </c>
      <c r="F89" s="393" t="str">
        <f t="shared" si="2"/>
        <v>234</v>
      </c>
      <c r="G89" s="393">
        <f t="shared" si="3"/>
        <v>234</v>
      </c>
      <c r="H89" s="394" t="s">
        <v>1358</v>
      </c>
    </row>
    <row r="90" spans="1:8">
      <c r="A90" s="394" t="s">
        <v>1359</v>
      </c>
      <c r="B90" s="394" t="s">
        <v>1124</v>
      </c>
      <c r="C90" s="394" t="s">
        <v>1097</v>
      </c>
      <c r="D90" s="394" t="s">
        <v>1098</v>
      </c>
      <c r="E90" s="394" t="s">
        <v>1360</v>
      </c>
      <c r="F90" s="393" t="str">
        <f t="shared" si="2"/>
        <v>254</v>
      </c>
      <c r="G90" s="393">
        <f t="shared" si="3"/>
        <v>254</v>
      </c>
      <c r="H90" s="394" t="s">
        <v>1361</v>
      </c>
    </row>
    <row r="91" spans="1:8">
      <c r="A91" s="394" t="s">
        <v>1362</v>
      </c>
      <c r="B91" s="394" t="s">
        <v>1124</v>
      </c>
      <c r="C91" s="394" t="s">
        <v>1102</v>
      </c>
      <c r="D91" s="394" t="s">
        <v>1103</v>
      </c>
      <c r="E91" s="394" t="s">
        <v>1363</v>
      </c>
      <c r="F91" s="393" t="str">
        <f t="shared" si="2"/>
        <v>270</v>
      </c>
      <c r="G91" s="393">
        <f t="shared" si="3"/>
        <v>270</v>
      </c>
      <c r="H91" s="394" t="s">
        <v>1364</v>
      </c>
    </row>
    <row r="92" spans="1:8">
      <c r="A92" s="394" t="s">
        <v>1365</v>
      </c>
      <c r="B92" s="394" t="s">
        <v>275</v>
      </c>
      <c r="C92" s="394" t="s">
        <v>1091</v>
      </c>
      <c r="D92" s="394" t="s">
        <v>1092</v>
      </c>
      <c r="E92" s="394" t="s">
        <v>1360</v>
      </c>
      <c r="F92" s="393" t="str">
        <f t="shared" si="2"/>
        <v>254</v>
      </c>
      <c r="G92" s="393">
        <f t="shared" si="3"/>
        <v>254</v>
      </c>
      <c r="H92" s="394" t="s">
        <v>1366</v>
      </c>
    </row>
    <row r="93" spans="1:8">
      <c r="A93" s="394" t="s">
        <v>1367</v>
      </c>
      <c r="B93" s="394" t="s">
        <v>1277</v>
      </c>
      <c r="C93" s="394" t="s">
        <v>1108</v>
      </c>
      <c r="D93" s="394" t="s">
        <v>1109</v>
      </c>
      <c r="E93" s="394" t="s">
        <v>1368</v>
      </c>
      <c r="F93" s="393" t="str">
        <f t="shared" si="2"/>
        <v>316</v>
      </c>
      <c r="G93" s="393">
        <f t="shared" si="3"/>
        <v>316</v>
      </c>
      <c r="H93" s="394" t="s">
        <v>1369</v>
      </c>
    </row>
    <row r="94" spans="1:8">
      <c r="A94" s="394" t="s">
        <v>1370</v>
      </c>
      <c r="B94" s="394" t="s">
        <v>1202</v>
      </c>
      <c r="C94" s="394" t="s">
        <v>1097</v>
      </c>
      <c r="D94" s="394" t="s">
        <v>1098</v>
      </c>
      <c r="E94" s="394" t="s">
        <v>1371</v>
      </c>
      <c r="F94" s="393" t="str">
        <f t="shared" si="2"/>
        <v>211</v>
      </c>
      <c r="G94" s="393">
        <f t="shared" si="3"/>
        <v>211</v>
      </c>
      <c r="H94" s="394" t="s">
        <v>1372</v>
      </c>
    </row>
    <row r="95" spans="1:8">
      <c r="A95" s="394" t="s">
        <v>1373</v>
      </c>
      <c r="B95" s="394" t="s">
        <v>1374</v>
      </c>
      <c r="C95" s="394" t="s">
        <v>1108</v>
      </c>
      <c r="D95" s="394" t="s">
        <v>1375</v>
      </c>
      <c r="E95" s="394" t="s">
        <v>1376</v>
      </c>
      <c r="F95" s="393" t="str">
        <f t="shared" si="2"/>
        <v>288</v>
      </c>
      <c r="G95" s="393">
        <f t="shared" si="3"/>
        <v>288</v>
      </c>
      <c r="H95" s="394" t="s">
        <v>1377</v>
      </c>
    </row>
    <row r="96" spans="1:8">
      <c r="A96" s="394" t="s">
        <v>1378</v>
      </c>
      <c r="B96" s="394" t="s">
        <v>275</v>
      </c>
      <c r="C96" s="394" t="s">
        <v>1097</v>
      </c>
      <c r="D96" s="394" t="s">
        <v>1098</v>
      </c>
      <c r="E96" s="394" t="s">
        <v>1379</v>
      </c>
      <c r="F96" s="393" t="str">
        <f t="shared" si="2"/>
        <v>295</v>
      </c>
      <c r="G96" s="393">
        <f t="shared" si="3"/>
        <v>295</v>
      </c>
      <c r="H96" s="394" t="s">
        <v>1380</v>
      </c>
    </row>
    <row r="97" spans="1:8">
      <c r="A97" s="394" t="s">
        <v>1381</v>
      </c>
      <c r="B97" s="394" t="s">
        <v>1382</v>
      </c>
      <c r="C97" s="394" t="s">
        <v>1102</v>
      </c>
      <c r="D97" s="394" t="s">
        <v>1103</v>
      </c>
      <c r="E97" s="394" t="s">
        <v>1383</v>
      </c>
      <c r="F97" s="393" t="str">
        <f t="shared" si="2"/>
        <v>292</v>
      </c>
      <c r="G97" s="393">
        <f t="shared" si="3"/>
        <v>292</v>
      </c>
      <c r="H97" s="394" t="s">
        <v>1229</v>
      </c>
    </row>
    <row r="98" spans="1:8">
      <c r="A98" s="394" t="s">
        <v>1384</v>
      </c>
      <c r="B98" s="394" t="s">
        <v>1277</v>
      </c>
      <c r="C98" s="394" t="s">
        <v>1108</v>
      </c>
      <c r="D98" s="394" t="s">
        <v>1109</v>
      </c>
      <c r="E98" s="394" t="s">
        <v>1385</v>
      </c>
      <c r="F98" s="393" t="str">
        <f t="shared" si="2"/>
        <v>300</v>
      </c>
      <c r="G98" s="393">
        <f t="shared" si="3"/>
        <v>300</v>
      </c>
      <c r="H98" s="394" t="s">
        <v>1386</v>
      </c>
    </row>
    <row r="99" spans="1:8">
      <c r="A99" s="394" t="s">
        <v>1387</v>
      </c>
      <c r="B99" s="394" t="s">
        <v>1388</v>
      </c>
      <c r="C99" s="394" t="s">
        <v>1097</v>
      </c>
      <c r="D99" s="394" t="s">
        <v>1098</v>
      </c>
      <c r="E99" s="394" t="s">
        <v>1389</v>
      </c>
      <c r="F99" s="393" t="str">
        <f t="shared" si="2"/>
        <v>211</v>
      </c>
      <c r="G99" s="393">
        <f t="shared" si="3"/>
        <v>211</v>
      </c>
      <c r="H99" s="394" t="s">
        <v>1155</v>
      </c>
    </row>
    <row r="100" spans="1:8">
      <c r="A100" s="394" t="s">
        <v>1390</v>
      </c>
      <c r="B100" s="394" t="s">
        <v>1382</v>
      </c>
      <c r="C100" s="394" t="s">
        <v>1108</v>
      </c>
      <c r="D100" s="394" t="s">
        <v>1153</v>
      </c>
      <c r="E100" s="394" t="s">
        <v>1391</v>
      </c>
      <c r="F100" s="393" t="str">
        <f t="shared" si="2"/>
        <v>284</v>
      </c>
      <c r="G100" s="393">
        <f t="shared" si="3"/>
        <v>284</v>
      </c>
      <c r="H100" s="394" t="s">
        <v>1392</v>
      </c>
    </row>
    <row r="101" spans="1:8">
      <c r="A101" s="394" t="s">
        <v>1393</v>
      </c>
      <c r="B101" s="394" t="s">
        <v>1142</v>
      </c>
      <c r="C101" s="394" t="s">
        <v>1108</v>
      </c>
      <c r="D101" s="394" t="s">
        <v>1153</v>
      </c>
      <c r="E101" s="394" t="s">
        <v>1394</v>
      </c>
      <c r="F101" s="393" t="str">
        <f t="shared" si="2"/>
        <v>178</v>
      </c>
      <c r="G101" s="393">
        <f t="shared" si="3"/>
        <v>178</v>
      </c>
      <c r="H101" s="394" t="s">
        <v>1395</v>
      </c>
    </row>
    <row r="102" spans="1:8">
      <c r="A102" s="394" t="s">
        <v>1396</v>
      </c>
      <c r="B102" s="394" t="s">
        <v>1277</v>
      </c>
      <c r="C102" s="394" t="s">
        <v>1108</v>
      </c>
      <c r="D102" s="394" t="s">
        <v>1153</v>
      </c>
      <c r="E102" s="394" t="s">
        <v>1397</v>
      </c>
      <c r="F102" s="393" t="str">
        <f t="shared" si="2"/>
        <v>310</v>
      </c>
      <c r="G102" s="393">
        <f t="shared" si="3"/>
        <v>310</v>
      </c>
      <c r="H102" s="394" t="s">
        <v>1398</v>
      </c>
    </row>
    <row r="103" spans="1:8">
      <c r="A103" s="394" t="s">
        <v>1399</v>
      </c>
      <c r="B103" s="394" t="s">
        <v>1382</v>
      </c>
      <c r="C103" s="394" t="s">
        <v>1091</v>
      </c>
      <c r="D103" s="394" t="s">
        <v>1092</v>
      </c>
      <c r="E103" s="394" t="s">
        <v>1400</v>
      </c>
      <c r="F103" s="393" t="str">
        <f t="shared" si="2"/>
        <v>326</v>
      </c>
      <c r="G103" s="393">
        <f t="shared" si="3"/>
        <v>326</v>
      </c>
      <c r="H103" s="394" t="s">
        <v>1401</v>
      </c>
    </row>
    <row r="105" spans="1:8">
      <c r="A105" s="399" t="s">
        <v>1403</v>
      </c>
    </row>
  </sheetData>
  <hyperlinks>
    <hyperlink ref="A105"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E16"/>
  <sheetViews>
    <sheetView showGridLines="0" zoomScale="120" zoomScaleNormal="120" workbookViewId="0">
      <selection activeCell="F4" sqref="F4"/>
    </sheetView>
  </sheetViews>
  <sheetFormatPr defaultRowHeight="15.75"/>
  <cols>
    <col min="1" max="1" width="4.7109375" style="142" customWidth="1"/>
    <col min="2" max="3" width="9.140625" style="142"/>
    <col min="4" max="4" width="63.140625" style="142" customWidth="1"/>
    <col min="5" max="16384" width="9.140625" style="142"/>
  </cols>
  <sheetData>
    <row r="1" spans="1:5" ht="23.25">
      <c r="A1" s="33" t="s">
        <v>1406</v>
      </c>
      <c r="E1" s="638" t="s">
        <v>2056</v>
      </c>
    </row>
    <row r="2" spans="1:5">
      <c r="B2" s="177"/>
    </row>
    <row r="5" spans="1:5" s="177" customFormat="1">
      <c r="B5" s="177">
        <v>2355.66</v>
      </c>
      <c r="D5" s="177" t="s">
        <v>1407</v>
      </c>
    </row>
    <row r="6" spans="1:5" s="177" customFormat="1">
      <c r="B6" s="177">
        <v>342343.34</v>
      </c>
      <c r="D6" s="177" t="s">
        <v>1408</v>
      </c>
    </row>
    <row r="7" spans="1:5" s="177" customFormat="1">
      <c r="B7" s="177">
        <v>245.77</v>
      </c>
      <c r="D7" s="177" t="s">
        <v>1409</v>
      </c>
    </row>
    <row r="8" spans="1:5" s="177" customFormat="1">
      <c r="B8" s="177">
        <v>5656.76</v>
      </c>
      <c r="D8" s="177" t="s">
        <v>1410</v>
      </c>
    </row>
    <row r="9" spans="1:5" s="177" customFormat="1">
      <c r="B9" s="177">
        <v>465.64</v>
      </c>
      <c r="D9" s="177" t="s">
        <v>1411</v>
      </c>
    </row>
    <row r="12" spans="1:5">
      <c r="D12" s="150" t="str">
        <f>D5&amp;TEXT(B5,"$#,###.##")</f>
        <v>Susan's commission for the month of March was $2,355.66</v>
      </c>
    </row>
    <row r="13" spans="1:5">
      <c r="D13" s="150" t="str">
        <f>D6&amp;TEXT(B6,"$#,###.##")</f>
        <v>Mark's commission for the month of March was $342,343.34</v>
      </c>
    </row>
    <row r="14" spans="1:5">
      <c r="D14" s="150" t="str">
        <f>D7&amp;TEXT(B7,"$#,###.##")</f>
        <v>Sam's commission for the month of March was $245.77</v>
      </c>
    </row>
    <row r="15" spans="1:5">
      <c r="D15" s="150" t="str">
        <f>D8&amp;TEXT(B8,"$#,###.##")</f>
        <v>Fred's commission for the month of March was $5,656.76</v>
      </c>
    </row>
    <row r="16" spans="1:5">
      <c r="D16" s="150" t="str">
        <f>D9&amp;TEXT(B9,"$#,###.##")</f>
        <v>Steve's commission for the month of March was $465.64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R22"/>
  <sheetViews>
    <sheetView showGridLines="0" zoomScale="70" zoomScaleNormal="70" workbookViewId="0">
      <selection activeCell="F4" sqref="F4"/>
    </sheetView>
  </sheetViews>
  <sheetFormatPr defaultRowHeight="15"/>
  <cols>
    <col min="1" max="16384" width="9.140625" style="3"/>
  </cols>
  <sheetData>
    <row r="1" spans="1:18" ht="27">
      <c r="A1" s="632" t="s">
        <v>330</v>
      </c>
      <c r="B1" s="2" t="s">
        <v>346</v>
      </c>
      <c r="E1" s="637" t="s">
        <v>2056</v>
      </c>
      <c r="R1" s="635" t="s">
        <v>2056</v>
      </c>
    </row>
    <row r="3" spans="1:18">
      <c r="A3" s="3" t="s">
        <v>331</v>
      </c>
    </row>
    <row r="4" spans="1:18">
      <c r="A4" s="3" t="s">
        <v>332</v>
      </c>
    </row>
    <row r="5" spans="1:18">
      <c r="A5" s="3" t="s">
        <v>333</v>
      </c>
    </row>
    <row r="6" spans="1:18">
      <c r="A6" s="3" t="s">
        <v>334</v>
      </c>
    </row>
    <row r="7" spans="1:18">
      <c r="A7" s="3" t="s">
        <v>341</v>
      </c>
    </row>
    <row r="8" spans="1:18">
      <c r="A8" s="3" t="s">
        <v>335</v>
      </c>
    </row>
    <row r="10" spans="1:18">
      <c r="A10" s="3" t="s">
        <v>336</v>
      </c>
    </row>
    <row r="11" spans="1:18">
      <c r="A11" s="3" t="s">
        <v>337</v>
      </c>
    </row>
    <row r="12" spans="1:18">
      <c r="A12" s="3" t="s">
        <v>338</v>
      </c>
    </row>
    <row r="13" spans="1:18">
      <c r="A13" s="3" t="s">
        <v>342</v>
      </c>
    </row>
    <row r="15" spans="1:18">
      <c r="A15" s="3" t="s">
        <v>339</v>
      </c>
    </row>
    <row r="16" spans="1:18">
      <c r="A16" s="3" t="s">
        <v>340</v>
      </c>
    </row>
    <row r="20" spans="11:11">
      <c r="K20" s="3" t="s">
        <v>343</v>
      </c>
    </row>
    <row r="21" spans="11:11">
      <c r="K21" s="3" t="s">
        <v>344</v>
      </c>
    </row>
    <row r="22" spans="11:11">
      <c r="K22" s="3" t="s">
        <v>345</v>
      </c>
    </row>
  </sheetData>
  <phoneticPr fontId="0" type="noConversion"/>
  <printOptions horizontalCentered="1"/>
  <pageMargins left="0.5" right="0.5" top="0.75" bottom="0.75" header="0.3" footer="0.3"/>
  <pageSetup scale="87" orientation="landscape" r:id="rId1"/>
  <headerFooter>
    <oddFooter>&amp;LBoni Mays
Fayetteville Technical Community College&amp;C&amp;P&amp;Rwww.maysstuff.com</oddFooter>
  </headerFooter>
  <drawing r:id="rId2"/>
</worksheet>
</file>

<file path=xl/worksheets/sheet20.xml><?xml version="1.0" encoding="utf-8"?>
<worksheet xmlns="http://schemas.openxmlformats.org/spreadsheetml/2006/main" xmlns:r="http://schemas.openxmlformats.org/officeDocument/2006/relationships">
  <dimension ref="A1:I20"/>
  <sheetViews>
    <sheetView showGridLines="0" workbookViewId="0">
      <selection activeCell="F4" sqref="F4"/>
    </sheetView>
  </sheetViews>
  <sheetFormatPr defaultRowHeight="15.75"/>
  <cols>
    <col min="1" max="1" width="9.140625" style="142"/>
    <col min="2" max="5" width="13.85546875" style="142" customWidth="1"/>
    <col min="6" max="7" width="9.140625" style="142"/>
    <col min="8" max="8" width="25.140625" style="142" customWidth="1"/>
    <col min="9" max="9" width="12.7109375" style="142" bestFit="1" customWidth="1"/>
    <col min="10" max="16384" width="9.140625" style="142"/>
  </cols>
  <sheetData>
    <row r="1" spans="1:9" ht="23.25">
      <c r="A1" s="33" t="s">
        <v>1431</v>
      </c>
      <c r="E1" s="638" t="s">
        <v>2056</v>
      </c>
    </row>
    <row r="2" spans="1:9" ht="23.25">
      <c r="A2" s="33"/>
    </row>
    <row r="3" spans="1:9">
      <c r="C3" s="177"/>
      <c r="H3" s="177" t="s">
        <v>645</v>
      </c>
      <c r="I3" s="151">
        <v>286000</v>
      </c>
    </row>
    <row r="4" spans="1:9">
      <c r="H4" s="177"/>
      <c r="I4" s="151"/>
    </row>
    <row r="5" spans="1:9">
      <c r="H5" s="177" t="s">
        <v>1421</v>
      </c>
      <c r="I5" s="151">
        <v>45000</v>
      </c>
    </row>
    <row r="6" spans="1:9">
      <c r="B6" s="310" t="s">
        <v>1412</v>
      </c>
      <c r="C6" s="310" t="s">
        <v>1413</v>
      </c>
      <c r="D6" s="310" t="s">
        <v>612</v>
      </c>
      <c r="E6" s="310" t="s">
        <v>1414</v>
      </c>
      <c r="H6" s="177" t="s">
        <v>1422</v>
      </c>
      <c r="I6" s="151">
        <v>33000</v>
      </c>
    </row>
    <row r="7" spans="1:9">
      <c r="B7" s="419">
        <v>0</v>
      </c>
      <c r="C7" s="419">
        <v>12750</v>
      </c>
      <c r="D7" s="419">
        <v>0</v>
      </c>
      <c r="E7" s="420">
        <v>0.06</v>
      </c>
      <c r="H7" s="177" t="s">
        <v>1423</v>
      </c>
      <c r="I7" s="151">
        <v>14500</v>
      </c>
    </row>
    <row r="8" spans="1:9">
      <c r="B8" s="419">
        <v>12750</v>
      </c>
      <c r="C8" s="419">
        <v>60000</v>
      </c>
      <c r="D8" s="419">
        <v>765</v>
      </c>
      <c r="E8" s="420">
        <v>7.0000000000000007E-2</v>
      </c>
      <c r="H8" s="177" t="s">
        <v>1424</v>
      </c>
      <c r="I8" s="151">
        <v>23500</v>
      </c>
    </row>
    <row r="9" spans="1:9">
      <c r="B9" s="419">
        <v>60000</v>
      </c>
      <c r="C9" s="419">
        <v>120000</v>
      </c>
      <c r="D9" s="419">
        <v>4072.5</v>
      </c>
      <c r="E9" s="420">
        <v>7.7499999999999999E-2</v>
      </c>
      <c r="H9" s="177" t="s">
        <v>1425</v>
      </c>
      <c r="I9" s="151">
        <v>30000</v>
      </c>
    </row>
    <row r="10" spans="1:9">
      <c r="B10" s="419">
        <v>120000</v>
      </c>
      <c r="C10" s="421" t="s">
        <v>1415</v>
      </c>
      <c r="D10" s="419">
        <v>8722.5</v>
      </c>
      <c r="E10" s="420">
        <v>8.2500000000000004E-2</v>
      </c>
      <c r="H10" s="177" t="s">
        <v>1426</v>
      </c>
      <c r="I10" s="151">
        <v>17000</v>
      </c>
    </row>
    <row r="11" spans="1:9">
      <c r="B11" s="3"/>
      <c r="C11" s="3"/>
      <c r="D11" s="422"/>
      <c r="E11" s="423"/>
      <c r="H11" s="177" t="s">
        <v>1427</v>
      </c>
      <c r="I11" s="151">
        <v>32000</v>
      </c>
    </row>
    <row r="12" spans="1:9">
      <c r="B12" s="3"/>
      <c r="C12" s="3"/>
      <c r="D12" s="3"/>
      <c r="E12" s="423"/>
      <c r="H12" s="177"/>
      <c r="I12" s="151"/>
    </row>
    <row r="13" spans="1:9">
      <c r="B13" s="189" t="s">
        <v>1416</v>
      </c>
      <c r="C13" s="189"/>
      <c r="D13" s="189"/>
      <c r="E13" s="192">
        <f>I15</f>
        <v>91000</v>
      </c>
      <c r="H13" s="177" t="s">
        <v>1428</v>
      </c>
      <c r="I13" s="424">
        <f>SUM(I5:I11)</f>
        <v>195000</v>
      </c>
    </row>
    <row r="14" spans="1:9">
      <c r="B14" s="189" t="s">
        <v>1417</v>
      </c>
      <c r="C14" s="189"/>
      <c r="D14" s="189"/>
      <c r="E14" s="192">
        <f>VLOOKUP(E13,$B$6:$E$10,1)</f>
        <v>60000</v>
      </c>
      <c r="H14" s="177"/>
      <c r="I14" s="151"/>
    </row>
    <row r="15" spans="1:9">
      <c r="B15" s="189" t="s">
        <v>1418</v>
      </c>
      <c r="C15" s="3"/>
      <c r="D15" s="3"/>
      <c r="E15" s="192">
        <f>VLOOKUP(E14,$B$6:$E$10,3)</f>
        <v>4072.5</v>
      </c>
      <c r="H15" s="177" t="s">
        <v>607</v>
      </c>
      <c r="I15" s="424">
        <f>I3-I13</f>
        <v>91000</v>
      </c>
    </row>
    <row r="16" spans="1:9">
      <c r="B16" s="189" t="s">
        <v>1419</v>
      </c>
      <c r="C16" s="3"/>
      <c r="D16" s="3"/>
      <c r="E16" s="425">
        <f>VLOOKUP(E15,$B$6:$E$10,4)</f>
        <v>0.06</v>
      </c>
    </row>
    <row r="17" spans="2:9">
      <c r="B17" s="3"/>
      <c r="C17" s="3"/>
      <c r="D17" s="3"/>
      <c r="E17" s="426"/>
      <c r="H17" s="177" t="s">
        <v>612</v>
      </c>
      <c r="I17" s="151">
        <f>E18</f>
        <v>5932.5</v>
      </c>
    </row>
    <row r="18" spans="2:9" ht="16.5" thickBot="1">
      <c r="B18" s="189" t="s">
        <v>1420</v>
      </c>
      <c r="C18" s="3"/>
      <c r="D18" s="3"/>
      <c r="E18" s="427">
        <f>E15+((E13-E14)*E16)</f>
        <v>5932.5</v>
      </c>
      <c r="H18" s="177"/>
      <c r="I18" s="151"/>
    </row>
    <row r="19" spans="2:9" ht="17.25" thickTop="1" thickBot="1">
      <c r="B19" s="3"/>
      <c r="C19" s="3"/>
      <c r="D19" s="3"/>
      <c r="E19" s="423"/>
      <c r="H19" s="177" t="s">
        <v>1429</v>
      </c>
      <c r="I19" s="428">
        <f>I15-I17</f>
        <v>85067.5</v>
      </c>
    </row>
    <row r="20" spans="2:9" ht="16.5" thickTop="1"/>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dimension ref="A1:M20"/>
  <sheetViews>
    <sheetView showGridLines="0" workbookViewId="0">
      <selection activeCell="F4" sqref="F4"/>
    </sheetView>
  </sheetViews>
  <sheetFormatPr defaultRowHeight="15.75"/>
  <cols>
    <col min="1" max="1" width="9.140625" style="142"/>
    <col min="2" max="10" width="12.5703125" style="142" customWidth="1"/>
    <col min="11" max="16384" width="9.140625" style="142"/>
  </cols>
  <sheetData>
    <row r="1" spans="1:13" ht="23.25">
      <c r="A1" s="33" t="s">
        <v>1430</v>
      </c>
      <c r="E1" s="638" t="s">
        <v>2056</v>
      </c>
    </row>
    <row r="2" spans="1:13">
      <c r="C2" s="177"/>
    </row>
    <row r="4" spans="1:13">
      <c r="B4" s="180" t="s">
        <v>1548</v>
      </c>
      <c r="M4" s="3"/>
    </row>
    <row r="5" spans="1:13" ht="30.75" customHeight="1" thickBot="1">
      <c r="B5" s="440">
        <v>1</v>
      </c>
      <c r="C5" s="441" t="s">
        <v>1549</v>
      </c>
      <c r="D5" s="442" t="s">
        <v>1550</v>
      </c>
      <c r="E5" s="442" t="s">
        <v>1551</v>
      </c>
      <c r="F5" s="442" t="s">
        <v>1552</v>
      </c>
      <c r="G5" s="442" t="s">
        <v>1553</v>
      </c>
      <c r="H5" s="442" t="s">
        <v>1554</v>
      </c>
      <c r="I5" s="442" t="s">
        <v>1555</v>
      </c>
      <c r="J5" s="442" t="s">
        <v>1556</v>
      </c>
      <c r="L5" s="177"/>
    </row>
    <row r="6" spans="1:13" hidden="1">
      <c r="B6" s="443">
        <v>1</v>
      </c>
      <c r="C6" s="443">
        <v>2</v>
      </c>
      <c r="D6" s="444">
        <v>6</v>
      </c>
      <c r="E6" s="444">
        <v>11</v>
      </c>
      <c r="F6" s="444">
        <v>16</v>
      </c>
      <c r="G6" s="444">
        <v>21</v>
      </c>
      <c r="H6" s="444">
        <v>31</v>
      </c>
      <c r="I6" s="444">
        <v>51</v>
      </c>
      <c r="J6" s="444">
        <v>100</v>
      </c>
    </row>
    <row r="7" spans="1:13">
      <c r="B7" s="445">
        <v>299.95</v>
      </c>
      <c r="C7" s="445">
        <f>B7*0.98</f>
        <v>293.95099999999996</v>
      </c>
      <c r="D7" s="445">
        <f t="shared" ref="D7:J7" si="0">C7*0.98</f>
        <v>288.07197999999994</v>
      </c>
      <c r="E7" s="445">
        <f t="shared" si="0"/>
        <v>282.31054039999992</v>
      </c>
      <c r="F7" s="445">
        <f t="shared" si="0"/>
        <v>276.66432959199994</v>
      </c>
      <c r="G7" s="445">
        <f t="shared" si="0"/>
        <v>271.13104300015993</v>
      </c>
      <c r="H7" s="445">
        <f t="shared" si="0"/>
        <v>265.70842214015676</v>
      </c>
      <c r="I7" s="445">
        <f t="shared" si="0"/>
        <v>260.39425369735363</v>
      </c>
      <c r="J7" s="445">
        <f t="shared" si="0"/>
        <v>255.18636862340657</v>
      </c>
    </row>
    <row r="12" spans="1:13" ht="21">
      <c r="B12" s="650" t="s">
        <v>1557</v>
      </c>
      <c r="C12" s="650"/>
      <c r="D12" s="650"/>
      <c r="E12" s="650"/>
      <c r="F12" s="650"/>
    </row>
    <row r="13" spans="1:13">
      <c r="B13" s="176" t="s">
        <v>1558</v>
      </c>
    </row>
    <row r="14" spans="1:13">
      <c r="B14" s="176" t="s">
        <v>1559</v>
      </c>
    </row>
    <row r="15" spans="1:13">
      <c r="B15" s="176" t="s">
        <v>1560</v>
      </c>
    </row>
    <row r="17" spans="2:6">
      <c r="B17" s="446" t="s">
        <v>1562</v>
      </c>
      <c r="C17" s="447"/>
      <c r="D17" s="448" t="s">
        <v>1563</v>
      </c>
      <c r="E17" s="439" t="s">
        <v>178</v>
      </c>
      <c r="F17" s="439" t="s">
        <v>1029</v>
      </c>
    </row>
    <row r="18" spans="2:6">
      <c r="B18" s="446" t="s">
        <v>1561</v>
      </c>
      <c r="C18" s="447"/>
      <c r="D18" s="448">
        <v>1</v>
      </c>
      <c r="E18" s="449">
        <f>HLOOKUP(D18,B6:J7,2)</f>
        <v>299.95</v>
      </c>
      <c r="F18" s="449">
        <f>E18*D18</f>
        <v>299.95</v>
      </c>
    </row>
    <row r="19" spans="2:6" ht="16.5" thickBot="1"/>
    <row r="20" spans="2:6" ht="16.5" thickBot="1">
      <c r="B20" s="142" t="s">
        <v>701</v>
      </c>
      <c r="F20" s="450">
        <f>F18</f>
        <v>299.95</v>
      </c>
    </row>
  </sheetData>
  <mergeCells count="1">
    <mergeCell ref="B12:F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dimension ref="A1:K110"/>
  <sheetViews>
    <sheetView showGridLines="0" workbookViewId="0">
      <selection activeCell="F4" sqref="F4"/>
    </sheetView>
  </sheetViews>
  <sheetFormatPr defaultRowHeight="15.75"/>
  <cols>
    <col min="1" max="1" width="9.140625" style="432"/>
    <col min="2" max="2" width="9.140625" style="431"/>
    <col min="3" max="3" width="32.85546875" style="432" bestFit="1" customWidth="1"/>
    <col min="4" max="11" width="9.140625" style="431"/>
    <col min="12" max="16384" width="9.140625" style="432"/>
  </cols>
  <sheetData>
    <row r="1" spans="1:11" ht="23.25">
      <c r="A1" s="430" t="s">
        <v>1547</v>
      </c>
      <c r="E1" s="640" t="s">
        <v>2056</v>
      </c>
    </row>
    <row r="3" spans="1:11">
      <c r="A3" s="433"/>
      <c r="B3" s="434" t="s">
        <v>1433</v>
      </c>
      <c r="C3" s="435" t="s">
        <v>1506</v>
      </c>
      <c r="E3" s="436">
        <f>HLOOKUP(C4,C6:K7,2)</f>
        <v>9</v>
      </c>
    </row>
    <row r="4" spans="1:11">
      <c r="B4" s="434" t="s">
        <v>1546</v>
      </c>
      <c r="C4" s="437" t="s">
        <v>1439</v>
      </c>
    </row>
    <row r="6" spans="1:11" ht="16.5" thickBot="1">
      <c r="C6" s="240" t="s">
        <v>1433</v>
      </c>
      <c r="D6" s="438" t="s">
        <v>1434</v>
      </c>
      <c r="E6" s="438" t="s">
        <v>1435</v>
      </c>
      <c r="F6" s="438" t="s">
        <v>1436</v>
      </c>
      <c r="G6" s="438" t="s">
        <v>1437</v>
      </c>
      <c r="H6" s="438" t="s">
        <v>1438</v>
      </c>
      <c r="I6" s="438" t="s">
        <v>1439</v>
      </c>
      <c r="J6" s="438" t="s">
        <v>1440</v>
      </c>
      <c r="K6" s="438" t="s">
        <v>1441</v>
      </c>
    </row>
    <row r="7" spans="1:11">
      <c r="C7" s="208" t="str">
        <f>VLOOKUP($C$3,$C$10:$K$110,1)</f>
        <v>Jared Tew, Air Force</v>
      </c>
      <c r="D7" s="439" t="str">
        <f>VLOOKUP($C$3,$C$10:$K$110,2)</f>
        <v>RB</v>
      </c>
      <c r="E7" s="439" t="str">
        <f>VLOOKUP($C$3,$C$10:$K$110,3)</f>
        <v>JR</v>
      </c>
      <c r="F7" s="439">
        <f>VLOOKUP($C$3,$C$10:$K$110,4)</f>
        <v>13</v>
      </c>
      <c r="G7" s="439">
        <f>VLOOKUP($C$3,$C$10:$K$110,5)</f>
        <v>238</v>
      </c>
      <c r="H7" s="439">
        <f>VLOOKUP($C$3,$C$10:$K$110,6)</f>
        <v>970</v>
      </c>
      <c r="I7" s="439">
        <f>VLOOKUP($C$3,$C$10:$K$110,7)</f>
        <v>9</v>
      </c>
      <c r="J7" s="439">
        <f>VLOOKUP($C$3,$C$10:$K$110,8)</f>
        <v>4.08</v>
      </c>
      <c r="K7" s="439">
        <f>VLOOKUP($C$3,$C$10:$K$110,9)</f>
        <v>74.62</v>
      </c>
    </row>
    <row r="10" spans="1:11" ht="16.5" thickBot="1">
      <c r="B10" s="438" t="s">
        <v>1432</v>
      </c>
      <c r="C10" s="240" t="s">
        <v>1433</v>
      </c>
      <c r="D10" s="438" t="s">
        <v>1434</v>
      </c>
      <c r="E10" s="438" t="s">
        <v>1435</v>
      </c>
      <c r="F10" s="438" t="s">
        <v>1436</v>
      </c>
      <c r="G10" s="438" t="s">
        <v>1437</v>
      </c>
      <c r="H10" s="438" t="s">
        <v>1438</v>
      </c>
      <c r="I10" s="438" t="s">
        <v>1439</v>
      </c>
      <c r="J10" s="438" t="s">
        <v>1440</v>
      </c>
      <c r="K10" s="438" t="s">
        <v>1441</v>
      </c>
    </row>
    <row r="11" spans="1:11">
      <c r="B11" s="431">
        <v>57</v>
      </c>
      <c r="C11" s="432" t="s">
        <v>1502</v>
      </c>
      <c r="D11" s="431" t="s">
        <v>1113</v>
      </c>
      <c r="E11" s="431" t="s">
        <v>1447</v>
      </c>
      <c r="F11" s="431">
        <v>11</v>
      </c>
      <c r="G11" s="431">
        <v>181</v>
      </c>
      <c r="H11" s="431">
        <v>834</v>
      </c>
      <c r="I11" s="431">
        <v>5</v>
      </c>
      <c r="J11" s="431">
        <v>4.6100000000000003</v>
      </c>
      <c r="K11" s="431">
        <v>75.819999999999993</v>
      </c>
    </row>
    <row r="12" spans="1:11">
      <c r="B12" s="431">
        <v>25</v>
      </c>
      <c r="C12" s="432" t="s">
        <v>1470</v>
      </c>
      <c r="D12" s="431" t="s">
        <v>1113</v>
      </c>
      <c r="E12" s="431" t="s">
        <v>1443</v>
      </c>
      <c r="F12" s="431">
        <v>12</v>
      </c>
      <c r="G12" s="431">
        <v>232</v>
      </c>
      <c r="H12" s="431">
        <v>1195</v>
      </c>
      <c r="I12" s="431">
        <v>6</v>
      </c>
      <c r="J12" s="431">
        <v>5.15</v>
      </c>
      <c r="K12" s="431">
        <v>99.58</v>
      </c>
    </row>
    <row r="13" spans="1:11">
      <c r="B13" s="431">
        <v>13</v>
      </c>
      <c r="C13" s="432" t="s">
        <v>1458</v>
      </c>
      <c r="D13" s="431" t="s">
        <v>1113</v>
      </c>
      <c r="E13" s="431" t="s">
        <v>1456</v>
      </c>
      <c r="F13" s="431">
        <v>12</v>
      </c>
      <c r="G13" s="431">
        <v>263</v>
      </c>
      <c r="H13" s="431">
        <v>1392</v>
      </c>
      <c r="I13" s="431">
        <v>11</v>
      </c>
      <c r="J13" s="431">
        <v>5.29</v>
      </c>
      <c r="K13" s="431">
        <v>116</v>
      </c>
    </row>
    <row r="14" spans="1:11">
      <c r="B14" s="431">
        <v>44</v>
      </c>
      <c r="C14" s="432" t="s">
        <v>1489</v>
      </c>
      <c r="D14" s="431" t="s">
        <v>1113</v>
      </c>
      <c r="E14" s="431" t="s">
        <v>1445</v>
      </c>
      <c r="F14" s="431">
        <v>12</v>
      </c>
      <c r="G14" s="431">
        <v>238</v>
      </c>
      <c r="H14" s="431">
        <v>1016</v>
      </c>
      <c r="I14" s="431">
        <v>8</v>
      </c>
      <c r="J14" s="431">
        <v>4.2699999999999996</v>
      </c>
      <c r="K14" s="431">
        <v>84.67</v>
      </c>
    </row>
    <row r="15" spans="1:11">
      <c r="B15" s="431">
        <v>47</v>
      </c>
      <c r="C15" s="432" t="s">
        <v>1492</v>
      </c>
      <c r="D15" s="431" t="s">
        <v>1113</v>
      </c>
      <c r="E15" s="431" t="s">
        <v>1445</v>
      </c>
      <c r="F15" s="431">
        <v>13</v>
      </c>
      <c r="G15" s="431">
        <v>239</v>
      </c>
      <c r="H15" s="431">
        <v>1093</v>
      </c>
      <c r="I15" s="431">
        <v>14</v>
      </c>
      <c r="J15" s="431">
        <v>4.57</v>
      </c>
      <c r="K15" s="431">
        <v>84.08</v>
      </c>
    </row>
    <row r="16" spans="1:11">
      <c r="B16" s="431">
        <v>6</v>
      </c>
      <c r="C16" s="432" t="s">
        <v>1450</v>
      </c>
      <c r="D16" s="431" t="s">
        <v>1113</v>
      </c>
      <c r="E16" s="431" t="s">
        <v>1445</v>
      </c>
      <c r="F16" s="431">
        <v>11</v>
      </c>
      <c r="G16" s="431">
        <v>257</v>
      </c>
      <c r="H16" s="431">
        <v>1391</v>
      </c>
      <c r="I16" s="431">
        <v>12</v>
      </c>
      <c r="J16" s="431">
        <v>5.41</v>
      </c>
      <c r="K16" s="431">
        <v>126.45</v>
      </c>
    </row>
    <row r="17" spans="2:11">
      <c r="B17" s="431">
        <v>72</v>
      </c>
      <c r="C17" s="432" t="s">
        <v>1517</v>
      </c>
      <c r="D17" s="431" t="s">
        <v>1113</v>
      </c>
      <c r="E17" s="431" t="s">
        <v>1456</v>
      </c>
      <c r="F17" s="431">
        <v>13</v>
      </c>
      <c r="G17" s="431">
        <v>151</v>
      </c>
      <c r="H17" s="431">
        <v>865</v>
      </c>
      <c r="I17" s="431">
        <v>7</v>
      </c>
      <c r="J17" s="431">
        <v>5.73</v>
      </c>
      <c r="K17" s="431">
        <v>66.540000000000006</v>
      </c>
    </row>
    <row r="18" spans="2:11">
      <c r="B18" s="431">
        <v>84</v>
      </c>
      <c r="C18" s="432" t="s">
        <v>1529</v>
      </c>
      <c r="D18" s="431" t="s">
        <v>1117</v>
      </c>
      <c r="E18" s="431" t="s">
        <v>1447</v>
      </c>
      <c r="F18" s="431">
        <v>13</v>
      </c>
      <c r="G18" s="431">
        <v>175</v>
      </c>
      <c r="H18" s="431">
        <v>772</v>
      </c>
      <c r="I18" s="431">
        <v>9</v>
      </c>
      <c r="J18" s="431">
        <v>4.41</v>
      </c>
      <c r="K18" s="431">
        <v>59.38</v>
      </c>
    </row>
    <row r="19" spans="2:11">
      <c r="B19" s="431">
        <v>69</v>
      </c>
      <c r="C19" s="432" t="s">
        <v>1514</v>
      </c>
      <c r="D19" s="431" t="s">
        <v>1113</v>
      </c>
      <c r="E19" s="431" t="s">
        <v>1443</v>
      </c>
      <c r="F19" s="431">
        <v>13</v>
      </c>
      <c r="G19" s="431">
        <v>168</v>
      </c>
      <c r="H19" s="431">
        <v>884</v>
      </c>
      <c r="I19" s="431">
        <v>14</v>
      </c>
      <c r="J19" s="431">
        <v>5.26</v>
      </c>
      <c r="K19" s="431">
        <v>68</v>
      </c>
    </row>
    <row r="20" spans="2:11">
      <c r="B20" s="431">
        <v>22</v>
      </c>
      <c r="C20" s="432" t="s">
        <v>1467</v>
      </c>
      <c r="D20" s="431" t="s">
        <v>1113</v>
      </c>
      <c r="E20" s="431" t="s">
        <v>1445</v>
      </c>
      <c r="F20" s="431">
        <v>13</v>
      </c>
      <c r="G20" s="431">
        <v>263</v>
      </c>
      <c r="H20" s="431">
        <v>1362</v>
      </c>
      <c r="I20" s="431">
        <v>10</v>
      </c>
      <c r="J20" s="431">
        <v>5.18</v>
      </c>
      <c r="K20" s="431">
        <v>104.77</v>
      </c>
    </row>
    <row r="21" spans="2:11">
      <c r="B21" s="431">
        <v>15</v>
      </c>
      <c r="C21" s="432" t="s">
        <v>1460</v>
      </c>
      <c r="D21" s="431" t="s">
        <v>1113</v>
      </c>
      <c r="E21" s="431" t="s">
        <v>1447</v>
      </c>
      <c r="F21" s="431">
        <v>12</v>
      </c>
      <c r="G21" s="431">
        <v>236</v>
      </c>
      <c r="H21" s="431">
        <v>1361</v>
      </c>
      <c r="I21" s="431">
        <v>16</v>
      </c>
      <c r="J21" s="431">
        <v>5.77</v>
      </c>
      <c r="K21" s="431">
        <v>113.42</v>
      </c>
    </row>
    <row r="22" spans="2:11">
      <c r="B22" s="431">
        <v>53</v>
      </c>
      <c r="C22" s="432" t="s">
        <v>1498</v>
      </c>
      <c r="D22" s="431" t="s">
        <v>1113</v>
      </c>
      <c r="E22" s="431" t="s">
        <v>1456</v>
      </c>
      <c r="F22" s="431">
        <v>12</v>
      </c>
      <c r="G22" s="431">
        <v>144</v>
      </c>
      <c r="H22" s="431">
        <v>939</v>
      </c>
      <c r="I22" s="431">
        <v>6</v>
      </c>
      <c r="J22" s="431">
        <v>6.52</v>
      </c>
      <c r="K22" s="431">
        <v>78.25</v>
      </c>
    </row>
    <row r="23" spans="2:11">
      <c r="B23" s="431">
        <v>94</v>
      </c>
      <c r="C23" s="432" t="s">
        <v>1539</v>
      </c>
      <c r="D23" s="431" t="s">
        <v>1113</v>
      </c>
      <c r="E23" s="431" t="s">
        <v>1443</v>
      </c>
      <c r="F23" s="431">
        <v>13</v>
      </c>
      <c r="G23" s="431">
        <v>145</v>
      </c>
      <c r="H23" s="431">
        <v>739</v>
      </c>
      <c r="I23" s="431">
        <v>4</v>
      </c>
      <c r="J23" s="431">
        <v>5.0999999999999996</v>
      </c>
      <c r="K23" s="431">
        <v>56.85</v>
      </c>
    </row>
    <row r="24" spans="2:11">
      <c r="B24" s="431">
        <v>98</v>
      </c>
      <c r="C24" s="432" t="s">
        <v>1543</v>
      </c>
      <c r="D24" s="431" t="s">
        <v>1113</v>
      </c>
      <c r="E24" s="431" t="s">
        <v>1443</v>
      </c>
      <c r="F24" s="431">
        <v>10</v>
      </c>
      <c r="G24" s="431">
        <v>154</v>
      </c>
      <c r="H24" s="431">
        <v>558</v>
      </c>
      <c r="I24" s="431">
        <v>4</v>
      </c>
      <c r="J24" s="431">
        <v>3.62</v>
      </c>
      <c r="K24" s="431">
        <v>55.8</v>
      </c>
    </row>
    <row r="25" spans="2:11">
      <c r="B25" s="431">
        <v>27</v>
      </c>
      <c r="C25" s="432" t="s">
        <v>1472</v>
      </c>
      <c r="D25" s="431" t="s">
        <v>1113</v>
      </c>
      <c r="E25" s="431" t="s">
        <v>1445</v>
      </c>
      <c r="F25" s="431">
        <v>12</v>
      </c>
      <c r="G25" s="431">
        <v>214</v>
      </c>
      <c r="H25" s="431">
        <v>1164</v>
      </c>
      <c r="I25" s="431">
        <v>10</v>
      </c>
      <c r="J25" s="431">
        <v>5.44</v>
      </c>
      <c r="K25" s="431">
        <v>97</v>
      </c>
    </row>
    <row r="26" spans="2:11">
      <c r="B26" s="431">
        <v>32</v>
      </c>
      <c r="C26" s="432" t="s">
        <v>1477</v>
      </c>
      <c r="D26" s="431" t="s">
        <v>1113</v>
      </c>
      <c r="E26" s="431" t="s">
        <v>1456</v>
      </c>
      <c r="F26" s="431">
        <v>12</v>
      </c>
      <c r="G26" s="431">
        <v>261</v>
      </c>
      <c r="H26" s="431">
        <v>1109</v>
      </c>
      <c r="I26" s="431">
        <v>14</v>
      </c>
      <c r="J26" s="431">
        <v>4.25</v>
      </c>
      <c r="K26" s="431">
        <v>92.42</v>
      </c>
    </row>
    <row r="27" spans="2:11">
      <c r="B27" s="431">
        <v>41</v>
      </c>
      <c r="C27" s="432" t="s">
        <v>1486</v>
      </c>
      <c r="D27" s="431" t="s">
        <v>1113</v>
      </c>
      <c r="E27" s="431" t="s">
        <v>1445</v>
      </c>
      <c r="F27" s="431">
        <v>14</v>
      </c>
      <c r="G27" s="431">
        <v>216</v>
      </c>
      <c r="H27" s="431">
        <v>1212</v>
      </c>
      <c r="I27" s="431">
        <v>12</v>
      </c>
      <c r="J27" s="431">
        <v>5.61</v>
      </c>
      <c r="K27" s="431">
        <v>86.57</v>
      </c>
    </row>
    <row r="28" spans="2:11">
      <c r="B28" s="431">
        <v>83</v>
      </c>
      <c r="C28" s="432" t="s">
        <v>1528</v>
      </c>
      <c r="D28" s="431" t="s">
        <v>1113</v>
      </c>
      <c r="E28" s="431" t="s">
        <v>1456</v>
      </c>
      <c r="F28" s="431">
        <v>10</v>
      </c>
      <c r="G28" s="431">
        <v>114</v>
      </c>
      <c r="H28" s="431">
        <v>594</v>
      </c>
      <c r="I28" s="431">
        <v>7</v>
      </c>
      <c r="J28" s="431">
        <v>5.21</v>
      </c>
      <c r="K28" s="431">
        <v>59.4</v>
      </c>
    </row>
    <row r="29" spans="2:11">
      <c r="B29" s="431">
        <v>52</v>
      </c>
      <c r="C29" s="432" t="s">
        <v>1497</v>
      </c>
      <c r="D29" s="431" t="s">
        <v>1113</v>
      </c>
      <c r="E29" s="431" t="s">
        <v>1443</v>
      </c>
      <c r="F29" s="431">
        <v>13</v>
      </c>
      <c r="G29" s="431">
        <v>179</v>
      </c>
      <c r="H29" s="431">
        <v>1038</v>
      </c>
      <c r="I29" s="431">
        <v>19</v>
      </c>
      <c r="J29" s="431">
        <v>5.8</v>
      </c>
      <c r="K29" s="431">
        <v>79.849999999999994</v>
      </c>
    </row>
    <row r="30" spans="2:11">
      <c r="B30" s="431">
        <v>92</v>
      </c>
      <c r="C30" s="432" t="s">
        <v>1537</v>
      </c>
      <c r="D30" s="431" t="s">
        <v>1113</v>
      </c>
      <c r="E30" s="431" t="s">
        <v>1445</v>
      </c>
      <c r="F30" s="431">
        <v>13</v>
      </c>
      <c r="G30" s="431">
        <v>182</v>
      </c>
      <c r="H30" s="431">
        <v>749</v>
      </c>
      <c r="I30" s="431">
        <v>7</v>
      </c>
      <c r="J30" s="431">
        <v>4.12</v>
      </c>
      <c r="K30" s="431">
        <v>57.62</v>
      </c>
    </row>
    <row r="31" spans="2:11">
      <c r="B31" s="431">
        <v>31</v>
      </c>
      <c r="C31" s="432" t="s">
        <v>1476</v>
      </c>
      <c r="D31" s="431" t="s">
        <v>1113</v>
      </c>
      <c r="E31" s="431" t="s">
        <v>1447</v>
      </c>
      <c r="F31" s="431">
        <v>12</v>
      </c>
      <c r="G31" s="431">
        <v>226</v>
      </c>
      <c r="H31" s="431">
        <v>1113</v>
      </c>
      <c r="I31" s="431">
        <v>5</v>
      </c>
      <c r="J31" s="431">
        <v>4.92</v>
      </c>
      <c r="K31" s="431">
        <v>92.75</v>
      </c>
    </row>
    <row r="32" spans="2:11">
      <c r="B32" s="431">
        <v>68</v>
      </c>
      <c r="C32" s="432" t="s">
        <v>1513</v>
      </c>
      <c r="D32" s="431" t="s">
        <v>1113</v>
      </c>
      <c r="E32" s="431" t="s">
        <v>1447</v>
      </c>
      <c r="F32" s="431">
        <v>12</v>
      </c>
      <c r="G32" s="431">
        <v>166</v>
      </c>
      <c r="H32" s="431">
        <v>844</v>
      </c>
      <c r="I32" s="431">
        <v>10</v>
      </c>
      <c r="J32" s="431">
        <v>5.08</v>
      </c>
      <c r="K32" s="431">
        <v>70.33</v>
      </c>
    </row>
    <row r="33" spans="2:11">
      <c r="B33" s="431">
        <v>36</v>
      </c>
      <c r="C33" s="432" t="s">
        <v>1481</v>
      </c>
      <c r="D33" s="431" t="s">
        <v>1117</v>
      </c>
      <c r="E33" s="431" t="s">
        <v>1443</v>
      </c>
      <c r="F33" s="431">
        <v>13</v>
      </c>
      <c r="G33" s="431">
        <v>161</v>
      </c>
      <c r="H33" s="431">
        <v>1183</v>
      </c>
      <c r="I33" s="431">
        <v>16</v>
      </c>
      <c r="J33" s="431">
        <v>7.35</v>
      </c>
      <c r="K33" s="431">
        <v>91</v>
      </c>
    </row>
    <row r="34" spans="2:11">
      <c r="B34" s="431">
        <v>7</v>
      </c>
      <c r="C34" s="432" t="s">
        <v>1451</v>
      </c>
      <c r="D34" s="431" t="s">
        <v>1113</v>
      </c>
      <c r="E34" s="431" t="s">
        <v>1445</v>
      </c>
      <c r="F34" s="431">
        <v>10</v>
      </c>
      <c r="G34" s="431">
        <v>198</v>
      </c>
      <c r="H34" s="431">
        <v>1239</v>
      </c>
      <c r="I34" s="431">
        <v>15</v>
      </c>
      <c r="J34" s="431">
        <v>6.26</v>
      </c>
      <c r="K34" s="431">
        <v>123.9</v>
      </c>
    </row>
    <row r="35" spans="2:11">
      <c r="B35" s="431">
        <v>89</v>
      </c>
      <c r="C35" s="432" t="s">
        <v>1534</v>
      </c>
      <c r="D35" s="431" t="s">
        <v>1113</v>
      </c>
      <c r="E35" s="431" t="s">
        <v>1456</v>
      </c>
      <c r="F35" s="431">
        <v>13</v>
      </c>
      <c r="G35" s="431">
        <v>159</v>
      </c>
      <c r="H35" s="431">
        <v>757</v>
      </c>
      <c r="I35" s="431">
        <v>5</v>
      </c>
      <c r="J35" s="431">
        <v>4.76</v>
      </c>
      <c r="K35" s="431">
        <v>58.23</v>
      </c>
    </row>
    <row r="36" spans="2:11">
      <c r="B36" s="431">
        <v>67</v>
      </c>
      <c r="C36" s="432" t="s">
        <v>1512</v>
      </c>
      <c r="D36" s="431" t="s">
        <v>1113</v>
      </c>
      <c r="E36" s="431" t="s">
        <v>1456</v>
      </c>
      <c r="F36" s="431">
        <v>12</v>
      </c>
      <c r="G36" s="431">
        <v>139</v>
      </c>
      <c r="H36" s="431">
        <v>857</v>
      </c>
      <c r="I36" s="431">
        <v>3</v>
      </c>
      <c r="J36" s="431">
        <v>6.17</v>
      </c>
      <c r="K36" s="431">
        <v>71.42</v>
      </c>
    </row>
    <row r="37" spans="2:11">
      <c r="B37" s="431">
        <v>48</v>
      </c>
      <c r="C37" s="432" t="s">
        <v>1493</v>
      </c>
      <c r="D37" s="431" t="s">
        <v>1113</v>
      </c>
      <c r="E37" s="431" t="s">
        <v>1445</v>
      </c>
      <c r="F37" s="431">
        <v>12</v>
      </c>
      <c r="G37" s="431">
        <v>178</v>
      </c>
      <c r="H37" s="431">
        <v>991</v>
      </c>
      <c r="I37" s="431">
        <v>14</v>
      </c>
      <c r="J37" s="431">
        <v>5.57</v>
      </c>
      <c r="K37" s="431">
        <v>82.58</v>
      </c>
    </row>
    <row r="38" spans="2:11">
      <c r="B38" s="431">
        <v>45</v>
      </c>
      <c r="C38" s="432" t="s">
        <v>1490</v>
      </c>
      <c r="D38" s="431" t="s">
        <v>1113</v>
      </c>
      <c r="E38" s="431" t="s">
        <v>1445</v>
      </c>
      <c r="F38" s="431">
        <v>12</v>
      </c>
      <c r="G38" s="431">
        <v>219</v>
      </c>
      <c r="H38" s="431">
        <v>1015</v>
      </c>
      <c r="I38" s="431">
        <v>8</v>
      </c>
      <c r="J38" s="431">
        <v>4.63</v>
      </c>
      <c r="K38" s="431">
        <v>84.58</v>
      </c>
    </row>
    <row r="39" spans="2:11">
      <c r="B39" s="431">
        <v>81</v>
      </c>
      <c r="C39" s="432" t="s">
        <v>1526</v>
      </c>
      <c r="D39" s="431" t="s">
        <v>1113</v>
      </c>
      <c r="E39" s="431" t="s">
        <v>1456</v>
      </c>
      <c r="F39" s="431">
        <v>10</v>
      </c>
      <c r="G39" s="431">
        <v>153</v>
      </c>
      <c r="H39" s="431">
        <v>600</v>
      </c>
      <c r="I39" s="431">
        <v>7</v>
      </c>
      <c r="J39" s="431">
        <v>3.92</v>
      </c>
      <c r="K39" s="431">
        <v>60</v>
      </c>
    </row>
    <row r="40" spans="2:11">
      <c r="B40" s="431">
        <v>28</v>
      </c>
      <c r="C40" s="432" t="s">
        <v>1473</v>
      </c>
      <c r="D40" s="431" t="s">
        <v>1113</v>
      </c>
      <c r="E40" s="431" t="s">
        <v>1445</v>
      </c>
      <c r="F40" s="431">
        <v>12</v>
      </c>
      <c r="G40" s="431">
        <v>211</v>
      </c>
      <c r="H40" s="431">
        <v>1132</v>
      </c>
      <c r="I40" s="431">
        <v>11</v>
      </c>
      <c r="J40" s="431">
        <v>5.36</v>
      </c>
      <c r="K40" s="431">
        <v>94.33</v>
      </c>
    </row>
    <row r="41" spans="2:11">
      <c r="B41" s="431">
        <v>21</v>
      </c>
      <c r="C41" s="432" t="s">
        <v>1466</v>
      </c>
      <c r="D41" s="431" t="s">
        <v>1113</v>
      </c>
      <c r="E41" s="431" t="s">
        <v>1443</v>
      </c>
      <c r="F41" s="431">
        <v>12</v>
      </c>
      <c r="G41" s="431">
        <v>247</v>
      </c>
      <c r="H41" s="431">
        <v>1265</v>
      </c>
      <c r="I41" s="431">
        <v>11</v>
      </c>
      <c r="J41" s="431">
        <v>5.12</v>
      </c>
      <c r="K41" s="431">
        <v>105.42</v>
      </c>
    </row>
    <row r="42" spans="2:11">
      <c r="B42" s="431">
        <v>16</v>
      </c>
      <c r="C42" s="432" t="s">
        <v>1461</v>
      </c>
      <c r="D42" s="431" t="s">
        <v>1113</v>
      </c>
      <c r="E42" s="431" t="s">
        <v>1443</v>
      </c>
      <c r="F42" s="431">
        <v>10</v>
      </c>
      <c r="G42" s="431">
        <v>227</v>
      </c>
      <c r="H42" s="431">
        <v>1131</v>
      </c>
      <c r="I42" s="431">
        <v>11</v>
      </c>
      <c r="J42" s="431">
        <v>4.9800000000000004</v>
      </c>
      <c r="K42" s="431">
        <v>113.1</v>
      </c>
    </row>
    <row r="43" spans="2:11">
      <c r="B43" s="431">
        <v>70</v>
      </c>
      <c r="C43" s="432" t="s">
        <v>1515</v>
      </c>
      <c r="D43" s="431" t="s">
        <v>1113</v>
      </c>
      <c r="E43" s="431" t="s">
        <v>1447</v>
      </c>
      <c r="F43" s="431">
        <v>9</v>
      </c>
      <c r="G43" s="431">
        <v>123</v>
      </c>
      <c r="H43" s="431">
        <v>607</v>
      </c>
      <c r="I43" s="431">
        <v>6</v>
      </c>
      <c r="J43" s="431">
        <v>4.93</v>
      </c>
      <c r="K43" s="431">
        <v>67.44</v>
      </c>
    </row>
    <row r="44" spans="2:11">
      <c r="B44" s="431">
        <v>43</v>
      </c>
      <c r="C44" s="432" t="s">
        <v>1488</v>
      </c>
      <c r="D44" s="431" t="s">
        <v>1113</v>
      </c>
      <c r="E44" s="431" t="s">
        <v>1445</v>
      </c>
      <c r="F44" s="431">
        <v>12</v>
      </c>
      <c r="G44" s="431">
        <v>236</v>
      </c>
      <c r="H44" s="431">
        <v>1021</v>
      </c>
      <c r="I44" s="431">
        <v>11</v>
      </c>
      <c r="J44" s="431">
        <v>4.33</v>
      </c>
      <c r="K44" s="431">
        <v>85.08</v>
      </c>
    </row>
    <row r="45" spans="2:11">
      <c r="B45" s="431">
        <v>87</v>
      </c>
      <c r="C45" s="432" t="s">
        <v>1532</v>
      </c>
      <c r="D45" s="431" t="s">
        <v>1113</v>
      </c>
      <c r="E45" s="431" t="s">
        <v>1443</v>
      </c>
      <c r="F45" s="431">
        <v>12</v>
      </c>
      <c r="G45" s="431">
        <v>171</v>
      </c>
      <c r="H45" s="431">
        <v>705</v>
      </c>
      <c r="I45" s="431">
        <v>8</v>
      </c>
      <c r="J45" s="431">
        <v>4.12</v>
      </c>
      <c r="K45" s="431">
        <v>58.75</v>
      </c>
    </row>
    <row r="46" spans="2:11">
      <c r="B46" s="431">
        <v>59</v>
      </c>
      <c r="C46" s="432" t="s">
        <v>1504</v>
      </c>
      <c r="D46" s="431" t="s">
        <v>1113</v>
      </c>
      <c r="E46" s="431" t="s">
        <v>1445</v>
      </c>
      <c r="F46" s="431">
        <v>13</v>
      </c>
      <c r="G46" s="431">
        <v>170</v>
      </c>
      <c r="H46" s="431">
        <v>980</v>
      </c>
      <c r="I46" s="431">
        <v>18</v>
      </c>
      <c r="J46" s="431">
        <v>5.76</v>
      </c>
      <c r="K46" s="431">
        <v>75.38</v>
      </c>
    </row>
    <row r="47" spans="2:11">
      <c r="B47" s="431">
        <v>58</v>
      </c>
      <c r="C47" s="432" t="s">
        <v>1503</v>
      </c>
      <c r="D47" s="431" t="s">
        <v>1113</v>
      </c>
      <c r="E47" s="431" t="s">
        <v>1443</v>
      </c>
      <c r="F47" s="431">
        <v>12</v>
      </c>
      <c r="G47" s="431">
        <v>195</v>
      </c>
      <c r="H47" s="431">
        <v>907</v>
      </c>
      <c r="I47" s="431">
        <v>6</v>
      </c>
      <c r="J47" s="431">
        <v>4.6500000000000004</v>
      </c>
      <c r="K47" s="431">
        <v>75.58</v>
      </c>
    </row>
    <row r="48" spans="2:11">
      <c r="B48" s="431">
        <v>72</v>
      </c>
      <c r="C48" s="432" t="s">
        <v>1518</v>
      </c>
      <c r="D48" s="431" t="s">
        <v>1113</v>
      </c>
      <c r="E48" s="431" t="s">
        <v>1443</v>
      </c>
      <c r="F48" s="431">
        <v>13</v>
      </c>
      <c r="G48" s="431">
        <v>190</v>
      </c>
      <c r="H48" s="431">
        <v>865</v>
      </c>
      <c r="I48" s="431">
        <v>10</v>
      </c>
      <c r="J48" s="431">
        <v>4.55</v>
      </c>
      <c r="K48" s="431">
        <v>66.540000000000006</v>
      </c>
    </row>
    <row r="49" spans="2:11">
      <c r="B49" s="431">
        <v>38</v>
      </c>
      <c r="C49" s="432" t="s">
        <v>1483</v>
      </c>
      <c r="D49" s="431" t="s">
        <v>1128</v>
      </c>
      <c r="E49" s="431" t="s">
        <v>1445</v>
      </c>
      <c r="F49" s="431">
        <v>13</v>
      </c>
      <c r="G49" s="431">
        <v>181</v>
      </c>
      <c r="H49" s="431">
        <v>1169</v>
      </c>
      <c r="I49" s="431">
        <v>8</v>
      </c>
      <c r="J49" s="431">
        <v>6.46</v>
      </c>
      <c r="K49" s="431">
        <v>89.92</v>
      </c>
    </row>
    <row r="50" spans="2:11">
      <c r="B50" s="431">
        <v>74</v>
      </c>
      <c r="C50" s="432" t="s">
        <v>1519</v>
      </c>
      <c r="D50" s="431" t="s">
        <v>1113</v>
      </c>
      <c r="E50" s="431" t="s">
        <v>1445</v>
      </c>
      <c r="F50" s="431">
        <v>12</v>
      </c>
      <c r="G50" s="431">
        <v>188</v>
      </c>
      <c r="H50" s="431">
        <v>795</v>
      </c>
      <c r="I50" s="431">
        <v>6</v>
      </c>
      <c r="J50" s="431">
        <v>4.2300000000000004</v>
      </c>
      <c r="K50" s="431">
        <v>66.25</v>
      </c>
    </row>
    <row r="51" spans="2:11">
      <c r="B51" s="431">
        <v>3</v>
      </c>
      <c r="C51" s="432" t="s">
        <v>1446</v>
      </c>
      <c r="D51" s="431" t="s">
        <v>1113</v>
      </c>
      <c r="E51" s="431" t="s">
        <v>1447</v>
      </c>
      <c r="F51" s="431">
        <v>13</v>
      </c>
      <c r="G51" s="431">
        <v>325</v>
      </c>
      <c r="H51" s="431">
        <v>1799</v>
      </c>
      <c r="I51" s="431">
        <v>17</v>
      </c>
      <c r="J51" s="431">
        <v>5.54</v>
      </c>
      <c r="K51" s="431">
        <v>138.38</v>
      </c>
    </row>
    <row r="52" spans="2:11">
      <c r="B52" s="431">
        <v>26</v>
      </c>
      <c r="C52" s="432" t="s">
        <v>1471</v>
      </c>
      <c r="D52" s="431" t="s">
        <v>1113</v>
      </c>
      <c r="E52" s="431" t="s">
        <v>1445</v>
      </c>
      <c r="F52" s="431">
        <v>12</v>
      </c>
      <c r="G52" s="431">
        <v>239</v>
      </c>
      <c r="H52" s="431">
        <v>1180</v>
      </c>
      <c r="I52" s="431">
        <v>6</v>
      </c>
      <c r="J52" s="431">
        <v>4.9400000000000004</v>
      </c>
      <c r="K52" s="431">
        <v>98.33</v>
      </c>
    </row>
    <row r="53" spans="2:11">
      <c r="B53" s="431">
        <v>4</v>
      </c>
      <c r="C53" s="432" t="s">
        <v>1448</v>
      </c>
      <c r="D53" s="431" t="s">
        <v>1113</v>
      </c>
      <c r="E53" s="431" t="s">
        <v>1443</v>
      </c>
      <c r="F53" s="431">
        <v>12</v>
      </c>
      <c r="G53" s="431">
        <v>259</v>
      </c>
      <c r="H53" s="431">
        <v>1594</v>
      </c>
      <c r="I53" s="431">
        <v>18</v>
      </c>
      <c r="J53" s="431">
        <v>6.15</v>
      </c>
      <c r="K53" s="431">
        <v>132.83000000000001</v>
      </c>
    </row>
    <row r="54" spans="2:11">
      <c r="B54" s="431">
        <v>93</v>
      </c>
      <c r="C54" s="432" t="s">
        <v>1538</v>
      </c>
      <c r="D54" s="431" t="s">
        <v>1113</v>
      </c>
      <c r="E54" s="431" t="s">
        <v>1443</v>
      </c>
      <c r="F54" s="431">
        <v>11</v>
      </c>
      <c r="G54" s="431">
        <v>175</v>
      </c>
      <c r="H54" s="431">
        <v>633</v>
      </c>
      <c r="I54" s="431">
        <v>7</v>
      </c>
      <c r="J54" s="431">
        <v>3.62</v>
      </c>
      <c r="K54" s="431">
        <v>57.55</v>
      </c>
    </row>
    <row r="55" spans="2:11">
      <c r="B55" s="431">
        <v>40</v>
      </c>
      <c r="C55" s="432" t="s">
        <v>1485</v>
      </c>
      <c r="D55" s="431" t="s">
        <v>1117</v>
      </c>
      <c r="E55" s="431" t="s">
        <v>1443</v>
      </c>
      <c r="F55" s="431">
        <v>13</v>
      </c>
      <c r="G55" s="431">
        <v>224</v>
      </c>
      <c r="H55" s="431">
        <v>1154</v>
      </c>
      <c r="I55" s="431">
        <v>13</v>
      </c>
      <c r="J55" s="431">
        <v>5.15</v>
      </c>
      <c r="K55" s="431">
        <v>88.77</v>
      </c>
    </row>
    <row r="56" spans="2:11">
      <c r="B56" s="431">
        <v>49</v>
      </c>
      <c r="C56" s="432" t="s">
        <v>1494</v>
      </c>
      <c r="D56" s="431" t="s">
        <v>1113</v>
      </c>
      <c r="E56" s="431" t="s">
        <v>1443</v>
      </c>
      <c r="F56" s="431">
        <v>13</v>
      </c>
      <c r="G56" s="431">
        <v>203</v>
      </c>
      <c r="H56" s="431">
        <v>1069</v>
      </c>
      <c r="I56" s="431">
        <v>12</v>
      </c>
      <c r="J56" s="431">
        <v>5.27</v>
      </c>
      <c r="K56" s="431">
        <v>82.23</v>
      </c>
    </row>
    <row r="57" spans="2:11">
      <c r="B57" s="431">
        <v>38</v>
      </c>
      <c r="C57" s="432" t="s">
        <v>1484</v>
      </c>
      <c r="D57" s="431" t="s">
        <v>1113</v>
      </c>
      <c r="E57" s="431" t="s">
        <v>1443</v>
      </c>
      <c r="F57" s="431">
        <v>13</v>
      </c>
      <c r="G57" s="431">
        <v>205</v>
      </c>
      <c r="H57" s="431">
        <v>1169</v>
      </c>
      <c r="I57" s="431">
        <v>6</v>
      </c>
      <c r="J57" s="431">
        <v>5.7</v>
      </c>
      <c r="K57" s="431">
        <v>89.92</v>
      </c>
    </row>
    <row r="58" spans="2:11">
      <c r="B58" s="431">
        <v>29</v>
      </c>
      <c r="C58" s="432" t="s">
        <v>1474</v>
      </c>
      <c r="D58" s="431" t="s">
        <v>1113</v>
      </c>
      <c r="E58" s="431" t="s">
        <v>1443</v>
      </c>
      <c r="F58" s="431">
        <v>12</v>
      </c>
      <c r="G58" s="431">
        <v>219</v>
      </c>
      <c r="H58" s="431">
        <v>1126</v>
      </c>
      <c r="I58" s="431">
        <v>13</v>
      </c>
      <c r="J58" s="431">
        <v>5.14</v>
      </c>
      <c r="K58" s="431">
        <v>93.83</v>
      </c>
    </row>
    <row r="59" spans="2:11">
      <c r="B59" s="431">
        <v>91</v>
      </c>
      <c r="C59" s="432" t="s">
        <v>1536</v>
      </c>
      <c r="D59" s="431" t="s">
        <v>1113</v>
      </c>
      <c r="E59" s="431" t="s">
        <v>1443</v>
      </c>
      <c r="F59" s="431">
        <v>12</v>
      </c>
      <c r="G59" s="431">
        <v>134</v>
      </c>
      <c r="H59" s="431">
        <v>695</v>
      </c>
      <c r="I59" s="431">
        <v>4</v>
      </c>
      <c r="J59" s="431">
        <v>5.19</v>
      </c>
      <c r="K59" s="431">
        <v>57.92</v>
      </c>
    </row>
    <row r="60" spans="2:11">
      <c r="B60" s="431">
        <v>37</v>
      </c>
      <c r="C60" s="432" t="s">
        <v>1482</v>
      </c>
      <c r="D60" s="431" t="s">
        <v>1113</v>
      </c>
      <c r="E60" s="431" t="s">
        <v>1443</v>
      </c>
      <c r="F60" s="431">
        <v>12</v>
      </c>
      <c r="G60" s="431">
        <v>208</v>
      </c>
      <c r="H60" s="431">
        <v>1087</v>
      </c>
      <c r="I60" s="431">
        <v>11</v>
      </c>
      <c r="J60" s="431">
        <v>5.23</v>
      </c>
      <c r="K60" s="431">
        <v>90.58</v>
      </c>
    </row>
    <row r="61" spans="2:11">
      <c r="B61" s="431">
        <v>79</v>
      </c>
      <c r="C61" s="432" t="s">
        <v>1524</v>
      </c>
      <c r="D61" s="431" t="s">
        <v>1113</v>
      </c>
      <c r="E61" s="431" t="s">
        <v>1456</v>
      </c>
      <c r="F61" s="431">
        <v>13</v>
      </c>
      <c r="G61" s="431">
        <v>121</v>
      </c>
      <c r="H61" s="431">
        <v>806</v>
      </c>
      <c r="I61" s="431">
        <v>9</v>
      </c>
      <c r="J61" s="431">
        <v>6.66</v>
      </c>
      <c r="K61" s="431">
        <v>62</v>
      </c>
    </row>
    <row r="62" spans="2:11">
      <c r="B62" s="431">
        <v>19</v>
      </c>
      <c r="C62" s="432" t="s">
        <v>1464</v>
      </c>
      <c r="D62" s="431" t="s">
        <v>1113</v>
      </c>
      <c r="E62" s="431" t="s">
        <v>1456</v>
      </c>
      <c r="F62" s="431">
        <v>13</v>
      </c>
      <c r="G62" s="431">
        <v>273</v>
      </c>
      <c r="H62" s="431">
        <v>1440</v>
      </c>
      <c r="I62" s="431">
        <v>21</v>
      </c>
      <c r="J62" s="431">
        <v>5.27</v>
      </c>
      <c r="K62" s="431">
        <v>110.77</v>
      </c>
    </row>
    <row r="63" spans="2:11">
      <c r="B63" s="431">
        <v>61</v>
      </c>
      <c r="C63" s="432" t="s">
        <v>1506</v>
      </c>
      <c r="D63" s="431" t="s">
        <v>1113</v>
      </c>
      <c r="E63" s="431" t="s">
        <v>1443</v>
      </c>
      <c r="F63" s="431">
        <v>13</v>
      </c>
      <c r="G63" s="431">
        <v>238</v>
      </c>
      <c r="H63" s="431">
        <v>970</v>
      </c>
      <c r="I63" s="431">
        <v>9</v>
      </c>
      <c r="J63" s="431">
        <v>4.08</v>
      </c>
      <c r="K63" s="431">
        <v>74.62</v>
      </c>
    </row>
    <row r="64" spans="2:11">
      <c r="B64" s="431">
        <v>99</v>
      </c>
      <c r="C64" s="432" t="s">
        <v>1544</v>
      </c>
      <c r="D64" s="431" t="s">
        <v>1117</v>
      </c>
      <c r="E64" s="431" t="s">
        <v>1443</v>
      </c>
      <c r="F64" s="431">
        <v>12</v>
      </c>
      <c r="G64" s="431">
        <v>121</v>
      </c>
      <c r="H64" s="431">
        <v>668</v>
      </c>
      <c r="I64" s="431">
        <v>13</v>
      </c>
      <c r="J64" s="431">
        <v>5.52</v>
      </c>
      <c r="K64" s="431">
        <v>55.67</v>
      </c>
    </row>
    <row r="65" spans="2:11">
      <c r="B65" s="431">
        <v>50</v>
      </c>
      <c r="C65" s="432" t="s">
        <v>1495</v>
      </c>
      <c r="D65" s="431" t="s">
        <v>1113</v>
      </c>
      <c r="E65" s="431" t="s">
        <v>1443</v>
      </c>
      <c r="F65" s="431">
        <v>14</v>
      </c>
      <c r="G65" s="431">
        <v>209</v>
      </c>
      <c r="H65" s="431">
        <v>1150</v>
      </c>
      <c r="I65" s="431">
        <v>6</v>
      </c>
      <c r="J65" s="431">
        <v>5.5</v>
      </c>
      <c r="K65" s="431">
        <v>82.14</v>
      </c>
    </row>
    <row r="66" spans="2:11">
      <c r="B66" s="431">
        <v>78</v>
      </c>
      <c r="C66" s="432" t="s">
        <v>1523</v>
      </c>
      <c r="D66" s="431" t="s">
        <v>1113</v>
      </c>
      <c r="E66" s="431" t="s">
        <v>1456</v>
      </c>
      <c r="F66" s="431">
        <v>13</v>
      </c>
      <c r="G66" s="431">
        <v>163</v>
      </c>
      <c r="H66" s="431">
        <v>832</v>
      </c>
      <c r="I66" s="431">
        <v>9</v>
      </c>
      <c r="J66" s="431">
        <v>5.0999999999999996</v>
      </c>
      <c r="K66" s="431">
        <v>64</v>
      </c>
    </row>
    <row r="67" spans="2:11">
      <c r="B67" s="431">
        <v>62</v>
      </c>
      <c r="C67" s="432" t="s">
        <v>1507</v>
      </c>
      <c r="D67" s="431" t="s">
        <v>1113</v>
      </c>
      <c r="E67" s="431" t="s">
        <v>1456</v>
      </c>
      <c r="F67" s="431">
        <v>13</v>
      </c>
      <c r="G67" s="431">
        <v>206</v>
      </c>
      <c r="H67" s="431">
        <v>967</v>
      </c>
      <c r="I67" s="431">
        <v>9</v>
      </c>
      <c r="J67" s="431">
        <v>4.6900000000000004</v>
      </c>
      <c r="K67" s="431">
        <v>74.38</v>
      </c>
    </row>
    <row r="68" spans="2:11">
      <c r="B68" s="431">
        <v>46</v>
      </c>
      <c r="C68" s="432" t="s">
        <v>1491</v>
      </c>
      <c r="D68" s="431" t="s">
        <v>1113</v>
      </c>
      <c r="E68" s="431" t="s">
        <v>1443</v>
      </c>
      <c r="F68" s="431">
        <v>12</v>
      </c>
      <c r="G68" s="431">
        <v>164</v>
      </c>
      <c r="H68" s="431">
        <v>1014</v>
      </c>
      <c r="I68" s="431">
        <v>8</v>
      </c>
      <c r="J68" s="431">
        <v>6.18</v>
      </c>
      <c r="K68" s="431">
        <v>84.5</v>
      </c>
    </row>
    <row r="69" spans="2:11">
      <c r="B69" s="431">
        <v>10</v>
      </c>
      <c r="C69" s="432" t="s">
        <v>1454</v>
      </c>
      <c r="D69" s="431" t="s">
        <v>1117</v>
      </c>
      <c r="E69" s="431" t="s">
        <v>1445</v>
      </c>
      <c r="F69" s="431">
        <v>12</v>
      </c>
      <c r="G69" s="431">
        <v>227</v>
      </c>
      <c r="H69" s="431">
        <v>1427</v>
      </c>
      <c r="I69" s="431">
        <v>11</v>
      </c>
      <c r="J69" s="431">
        <v>6.29</v>
      </c>
      <c r="K69" s="431">
        <v>118.92</v>
      </c>
    </row>
    <row r="70" spans="2:11">
      <c r="B70" s="431">
        <v>12</v>
      </c>
      <c r="C70" s="432" t="s">
        <v>1457</v>
      </c>
      <c r="D70" s="431" t="s">
        <v>1113</v>
      </c>
      <c r="E70" s="431" t="s">
        <v>1456</v>
      </c>
      <c r="F70" s="431">
        <v>13</v>
      </c>
      <c r="G70" s="431">
        <v>287</v>
      </c>
      <c r="H70" s="431">
        <v>1517</v>
      </c>
      <c r="I70" s="431">
        <v>18</v>
      </c>
      <c r="J70" s="431">
        <v>5.29</v>
      </c>
      <c r="K70" s="431">
        <v>116.69</v>
      </c>
    </row>
    <row r="71" spans="2:11">
      <c r="B71" s="431">
        <v>85</v>
      </c>
      <c r="C71" s="432" t="s">
        <v>1530</v>
      </c>
      <c r="D71" s="431" t="s">
        <v>1113</v>
      </c>
      <c r="E71" s="431" t="s">
        <v>1443</v>
      </c>
      <c r="F71" s="431">
        <v>11</v>
      </c>
      <c r="G71" s="431">
        <v>124</v>
      </c>
      <c r="H71" s="431">
        <v>650</v>
      </c>
      <c r="I71" s="431">
        <v>7</v>
      </c>
      <c r="J71" s="431">
        <v>5.24</v>
      </c>
      <c r="K71" s="431">
        <v>59.09</v>
      </c>
    </row>
    <row r="72" spans="2:11">
      <c r="B72" s="431">
        <v>24</v>
      </c>
      <c r="C72" s="432" t="s">
        <v>1469</v>
      </c>
      <c r="D72" s="431" t="s">
        <v>1113</v>
      </c>
      <c r="E72" s="431" t="s">
        <v>1443</v>
      </c>
      <c r="F72" s="431">
        <v>14</v>
      </c>
      <c r="G72" s="431">
        <v>235</v>
      </c>
      <c r="H72" s="431">
        <v>1395</v>
      </c>
      <c r="I72" s="431">
        <v>14</v>
      </c>
      <c r="J72" s="431">
        <v>5.94</v>
      </c>
      <c r="K72" s="431">
        <v>99.64</v>
      </c>
    </row>
    <row r="73" spans="2:11">
      <c r="B73" s="431">
        <v>34</v>
      </c>
      <c r="C73" s="432" t="s">
        <v>1479</v>
      </c>
      <c r="D73" s="431" t="s">
        <v>1113</v>
      </c>
      <c r="E73" s="431" t="s">
        <v>1456</v>
      </c>
      <c r="F73" s="431">
        <v>13</v>
      </c>
      <c r="G73" s="431">
        <v>235</v>
      </c>
      <c r="H73" s="431">
        <v>1188</v>
      </c>
      <c r="I73" s="431">
        <v>14</v>
      </c>
      <c r="J73" s="431">
        <v>5.0599999999999996</v>
      </c>
      <c r="K73" s="431">
        <v>91.38</v>
      </c>
    </row>
    <row r="74" spans="2:11">
      <c r="B74" s="431">
        <v>90</v>
      </c>
      <c r="C74" s="432" t="s">
        <v>1535</v>
      </c>
      <c r="D74" s="431" t="s">
        <v>1113</v>
      </c>
      <c r="E74" s="431" t="s">
        <v>1445</v>
      </c>
      <c r="F74" s="431">
        <v>13</v>
      </c>
      <c r="G74" s="431">
        <v>147</v>
      </c>
      <c r="H74" s="431">
        <v>754</v>
      </c>
      <c r="I74" s="431">
        <v>11</v>
      </c>
      <c r="J74" s="431">
        <v>5.13</v>
      </c>
      <c r="K74" s="431">
        <v>58</v>
      </c>
    </row>
    <row r="75" spans="2:11">
      <c r="B75" s="431">
        <v>63</v>
      </c>
      <c r="C75" s="432" t="s">
        <v>1508</v>
      </c>
      <c r="D75" s="431" t="s">
        <v>1117</v>
      </c>
      <c r="E75" s="431" t="s">
        <v>1443</v>
      </c>
      <c r="F75" s="431">
        <v>14</v>
      </c>
      <c r="G75" s="431">
        <v>279</v>
      </c>
      <c r="H75" s="431">
        <v>1037</v>
      </c>
      <c r="I75" s="431">
        <v>18</v>
      </c>
      <c r="J75" s="431">
        <v>3.72</v>
      </c>
      <c r="K75" s="431">
        <v>74.069999999999993</v>
      </c>
    </row>
    <row r="76" spans="2:11">
      <c r="B76" s="431">
        <v>30</v>
      </c>
      <c r="C76" s="432" t="s">
        <v>1475</v>
      </c>
      <c r="D76" s="431" t="s">
        <v>1113</v>
      </c>
      <c r="E76" s="431" t="s">
        <v>1445</v>
      </c>
      <c r="F76" s="431">
        <v>13</v>
      </c>
      <c r="G76" s="431">
        <v>227</v>
      </c>
      <c r="H76" s="431">
        <v>1218</v>
      </c>
      <c r="I76" s="431">
        <v>11</v>
      </c>
      <c r="J76" s="431">
        <v>5.37</v>
      </c>
      <c r="K76" s="431">
        <v>93.69</v>
      </c>
    </row>
    <row r="77" spans="2:11">
      <c r="B77" s="431">
        <v>9</v>
      </c>
      <c r="C77" s="432" t="s">
        <v>1453</v>
      </c>
      <c r="D77" s="431" t="s">
        <v>1113</v>
      </c>
      <c r="E77" s="431" t="s">
        <v>1447</v>
      </c>
      <c r="F77" s="431">
        <v>13</v>
      </c>
      <c r="G77" s="431">
        <v>230</v>
      </c>
      <c r="H77" s="431">
        <v>1546</v>
      </c>
      <c r="I77" s="431">
        <v>14</v>
      </c>
      <c r="J77" s="431">
        <v>6.72</v>
      </c>
      <c r="K77" s="431">
        <v>118.92</v>
      </c>
    </row>
    <row r="78" spans="2:11">
      <c r="B78" s="431">
        <v>14</v>
      </c>
      <c r="C78" s="432" t="s">
        <v>1459</v>
      </c>
      <c r="D78" s="431" t="s">
        <v>1113</v>
      </c>
      <c r="E78" s="431" t="s">
        <v>1456</v>
      </c>
      <c r="F78" s="431">
        <v>12</v>
      </c>
      <c r="G78" s="431">
        <v>200</v>
      </c>
      <c r="H78" s="431">
        <v>1378</v>
      </c>
      <c r="I78" s="431">
        <v>17</v>
      </c>
      <c r="J78" s="431">
        <v>6.89</v>
      </c>
      <c r="K78" s="431">
        <v>114.83</v>
      </c>
    </row>
    <row r="79" spans="2:11">
      <c r="B79" s="431">
        <v>56</v>
      </c>
      <c r="C79" s="432" t="s">
        <v>1501</v>
      </c>
      <c r="D79" s="431" t="s">
        <v>1113</v>
      </c>
      <c r="E79" s="431" t="s">
        <v>1443</v>
      </c>
      <c r="F79" s="431">
        <v>10</v>
      </c>
      <c r="G79" s="431">
        <v>156</v>
      </c>
      <c r="H79" s="431">
        <v>766</v>
      </c>
      <c r="I79" s="431">
        <v>2</v>
      </c>
      <c r="J79" s="431">
        <v>4.91</v>
      </c>
      <c r="K79" s="431">
        <v>76.599999999999994</v>
      </c>
    </row>
    <row r="80" spans="2:11">
      <c r="B80" s="431">
        <v>42</v>
      </c>
      <c r="C80" s="432" t="s">
        <v>1487</v>
      </c>
      <c r="D80" s="431" t="s">
        <v>1113</v>
      </c>
      <c r="E80" s="431" t="s">
        <v>1445</v>
      </c>
      <c r="F80" s="431">
        <v>12</v>
      </c>
      <c r="G80" s="431">
        <v>134</v>
      </c>
      <c r="H80" s="431">
        <v>1034</v>
      </c>
      <c r="I80" s="431">
        <v>9</v>
      </c>
      <c r="J80" s="431">
        <v>7.72</v>
      </c>
      <c r="K80" s="431">
        <v>86.17</v>
      </c>
    </row>
    <row r="81" spans="2:11">
      <c r="B81" s="431">
        <v>11</v>
      </c>
      <c r="C81" s="432" t="s">
        <v>1455</v>
      </c>
      <c r="D81" s="431" t="s">
        <v>1113</v>
      </c>
      <c r="E81" s="431" t="s">
        <v>1456</v>
      </c>
      <c r="F81" s="431">
        <v>14</v>
      </c>
      <c r="G81" s="431">
        <v>271</v>
      </c>
      <c r="H81" s="431">
        <v>1658</v>
      </c>
      <c r="I81" s="431">
        <v>17</v>
      </c>
      <c r="J81" s="431">
        <v>6.12</v>
      </c>
      <c r="K81" s="431">
        <v>118.43</v>
      </c>
    </row>
    <row r="82" spans="2:11">
      <c r="B82" s="431">
        <v>88</v>
      </c>
      <c r="C82" s="432" t="s">
        <v>1533</v>
      </c>
      <c r="D82" s="431" t="s">
        <v>1113</v>
      </c>
      <c r="E82" s="431" t="s">
        <v>1456</v>
      </c>
      <c r="F82" s="431">
        <v>11</v>
      </c>
      <c r="G82" s="431">
        <v>148</v>
      </c>
      <c r="H82" s="431">
        <v>645</v>
      </c>
      <c r="I82" s="431">
        <v>4</v>
      </c>
      <c r="J82" s="431">
        <v>4.3600000000000003</v>
      </c>
      <c r="K82" s="431">
        <v>58.64</v>
      </c>
    </row>
    <row r="83" spans="2:11">
      <c r="B83" s="431">
        <v>71</v>
      </c>
      <c r="C83" s="432" t="s">
        <v>1516</v>
      </c>
      <c r="D83" s="431" t="s">
        <v>1113</v>
      </c>
      <c r="E83" s="431" t="s">
        <v>1456</v>
      </c>
      <c r="F83" s="431">
        <v>11</v>
      </c>
      <c r="G83" s="431">
        <v>108</v>
      </c>
      <c r="H83" s="431">
        <v>734</v>
      </c>
      <c r="I83" s="431">
        <v>5</v>
      </c>
      <c r="J83" s="431">
        <v>6.8</v>
      </c>
      <c r="K83" s="431">
        <v>66.73</v>
      </c>
    </row>
    <row r="84" spans="2:11">
      <c r="B84" s="431">
        <v>66</v>
      </c>
      <c r="C84" s="432" t="s">
        <v>1511</v>
      </c>
      <c r="D84" s="431" t="s">
        <v>1113</v>
      </c>
      <c r="E84" s="431" t="s">
        <v>1445</v>
      </c>
      <c r="F84" s="431">
        <v>12</v>
      </c>
      <c r="G84" s="431">
        <v>181</v>
      </c>
      <c r="H84" s="431">
        <v>871</v>
      </c>
      <c r="I84" s="431">
        <v>5</v>
      </c>
      <c r="J84" s="431">
        <v>4.8099999999999996</v>
      </c>
      <c r="K84" s="431">
        <v>72.58</v>
      </c>
    </row>
    <row r="85" spans="2:11">
      <c r="B85" s="431">
        <v>23</v>
      </c>
      <c r="C85" s="432" t="s">
        <v>1468</v>
      </c>
      <c r="D85" s="431" t="s">
        <v>1113</v>
      </c>
      <c r="E85" s="431" t="s">
        <v>1445</v>
      </c>
      <c r="F85" s="431">
        <v>13</v>
      </c>
      <c r="G85" s="431">
        <v>282</v>
      </c>
      <c r="H85" s="431">
        <v>1345</v>
      </c>
      <c r="I85" s="431">
        <v>13</v>
      </c>
      <c r="J85" s="431">
        <v>4.7699999999999996</v>
      </c>
      <c r="K85" s="431">
        <v>103.46</v>
      </c>
    </row>
    <row r="86" spans="2:11">
      <c r="B86" s="431">
        <v>18</v>
      </c>
      <c r="C86" s="432" t="s">
        <v>1463</v>
      </c>
      <c r="D86" s="431" t="s">
        <v>1113</v>
      </c>
      <c r="E86" s="431" t="s">
        <v>1456</v>
      </c>
      <c r="F86" s="431">
        <v>13</v>
      </c>
      <c r="G86" s="431">
        <v>308</v>
      </c>
      <c r="H86" s="431">
        <v>1457</v>
      </c>
      <c r="I86" s="431">
        <v>14</v>
      </c>
      <c r="J86" s="431">
        <v>4.7300000000000004</v>
      </c>
      <c r="K86" s="431">
        <v>112.08</v>
      </c>
    </row>
    <row r="87" spans="2:11">
      <c r="B87" s="431">
        <v>95</v>
      </c>
      <c r="C87" s="432" t="s">
        <v>1540</v>
      </c>
      <c r="D87" s="431" t="s">
        <v>1113</v>
      </c>
      <c r="E87" s="431" t="s">
        <v>1443</v>
      </c>
      <c r="F87" s="431">
        <v>10</v>
      </c>
      <c r="G87" s="431">
        <v>79</v>
      </c>
      <c r="H87" s="431">
        <v>567</v>
      </c>
      <c r="I87" s="431">
        <v>5</v>
      </c>
      <c r="J87" s="431">
        <v>7.18</v>
      </c>
      <c r="K87" s="431">
        <v>56.7</v>
      </c>
    </row>
    <row r="88" spans="2:11">
      <c r="B88" s="431">
        <v>17</v>
      </c>
      <c r="C88" s="432" t="s">
        <v>1462</v>
      </c>
      <c r="D88" s="431" t="s">
        <v>1113</v>
      </c>
      <c r="E88" s="431" t="s">
        <v>1443</v>
      </c>
      <c r="F88" s="431">
        <v>13</v>
      </c>
      <c r="G88" s="431">
        <v>241</v>
      </c>
      <c r="H88" s="431">
        <v>1465</v>
      </c>
      <c r="I88" s="431">
        <v>13</v>
      </c>
      <c r="J88" s="431">
        <v>6.08</v>
      </c>
      <c r="K88" s="431">
        <v>112.69</v>
      </c>
    </row>
    <row r="89" spans="2:11">
      <c r="B89" s="431">
        <v>97</v>
      </c>
      <c r="C89" s="432" t="s">
        <v>1542</v>
      </c>
      <c r="D89" s="431" t="s">
        <v>1113</v>
      </c>
      <c r="E89" s="431" t="s">
        <v>1443</v>
      </c>
      <c r="F89" s="431">
        <v>12</v>
      </c>
      <c r="G89" s="431">
        <v>110</v>
      </c>
      <c r="H89" s="431">
        <v>673</v>
      </c>
      <c r="I89" s="431">
        <v>3</v>
      </c>
      <c r="J89" s="431">
        <v>6.12</v>
      </c>
      <c r="K89" s="431">
        <v>56.08</v>
      </c>
    </row>
    <row r="90" spans="2:11">
      <c r="B90" s="431">
        <v>55</v>
      </c>
      <c r="C90" s="432" t="s">
        <v>1500</v>
      </c>
      <c r="D90" s="431" t="s">
        <v>1113</v>
      </c>
      <c r="E90" s="431" t="s">
        <v>1456</v>
      </c>
      <c r="F90" s="431">
        <v>12</v>
      </c>
      <c r="G90" s="431">
        <v>200</v>
      </c>
      <c r="H90" s="431">
        <v>935</v>
      </c>
      <c r="I90" s="431">
        <v>9</v>
      </c>
      <c r="J90" s="431">
        <v>4.68</v>
      </c>
      <c r="K90" s="431">
        <v>77.92</v>
      </c>
    </row>
    <row r="91" spans="2:11">
      <c r="B91" s="431">
        <v>80</v>
      </c>
      <c r="C91" s="432" t="s">
        <v>1525</v>
      </c>
      <c r="D91" s="431" t="s">
        <v>1113</v>
      </c>
      <c r="E91" s="431" t="s">
        <v>1445</v>
      </c>
      <c r="F91" s="431">
        <v>12</v>
      </c>
      <c r="G91" s="431">
        <v>168</v>
      </c>
      <c r="H91" s="431">
        <v>723</v>
      </c>
      <c r="I91" s="431">
        <v>12</v>
      </c>
      <c r="J91" s="431">
        <v>4.3</v>
      </c>
      <c r="K91" s="431">
        <v>60.25</v>
      </c>
    </row>
    <row r="92" spans="2:11">
      <c r="B92" s="431">
        <v>33</v>
      </c>
      <c r="C92" s="432" t="s">
        <v>1478</v>
      </c>
      <c r="D92" s="431" t="s">
        <v>1117</v>
      </c>
      <c r="E92" s="431" t="s">
        <v>1443</v>
      </c>
      <c r="F92" s="431">
        <v>13</v>
      </c>
      <c r="G92" s="431">
        <v>315</v>
      </c>
      <c r="H92" s="431">
        <v>1192</v>
      </c>
      <c r="I92" s="431">
        <v>27</v>
      </c>
      <c r="J92" s="431">
        <v>3.78</v>
      </c>
      <c r="K92" s="431">
        <v>91.69</v>
      </c>
    </row>
    <row r="93" spans="2:11">
      <c r="B93" s="431">
        <v>20</v>
      </c>
      <c r="C93" s="432" t="s">
        <v>1465</v>
      </c>
      <c r="D93" s="431" t="s">
        <v>1113</v>
      </c>
      <c r="E93" s="431" t="s">
        <v>1456</v>
      </c>
      <c r="F93" s="431">
        <v>12</v>
      </c>
      <c r="G93" s="431">
        <v>207</v>
      </c>
      <c r="H93" s="431">
        <v>1296</v>
      </c>
      <c r="I93" s="431">
        <v>13</v>
      </c>
      <c r="J93" s="431">
        <v>6.26</v>
      </c>
      <c r="K93" s="431">
        <v>108</v>
      </c>
    </row>
    <row r="94" spans="2:11">
      <c r="B94" s="431">
        <v>65</v>
      </c>
      <c r="C94" s="432" t="s">
        <v>1510</v>
      </c>
      <c r="D94" s="431" t="s">
        <v>1113</v>
      </c>
      <c r="E94" s="431" t="s">
        <v>1456</v>
      </c>
      <c r="F94" s="431">
        <v>11</v>
      </c>
      <c r="G94" s="431">
        <v>198</v>
      </c>
      <c r="H94" s="431">
        <v>804</v>
      </c>
      <c r="I94" s="431">
        <v>9</v>
      </c>
      <c r="J94" s="431">
        <v>4.0599999999999996</v>
      </c>
      <c r="K94" s="431">
        <v>73.09</v>
      </c>
    </row>
    <row r="95" spans="2:11">
      <c r="B95" s="431">
        <v>51</v>
      </c>
      <c r="C95" s="432" t="s">
        <v>1496</v>
      </c>
      <c r="D95" s="431" t="s">
        <v>1113</v>
      </c>
      <c r="E95" s="431" t="s">
        <v>1443</v>
      </c>
      <c r="F95" s="431">
        <v>14</v>
      </c>
      <c r="G95" s="431">
        <v>220</v>
      </c>
      <c r="H95" s="431">
        <v>1147</v>
      </c>
      <c r="I95" s="431">
        <v>10</v>
      </c>
      <c r="J95" s="431">
        <v>5.21</v>
      </c>
      <c r="K95" s="431">
        <v>81.93</v>
      </c>
    </row>
    <row r="96" spans="2:11">
      <c r="B96" s="431">
        <v>100</v>
      </c>
      <c r="C96" s="432" t="s">
        <v>1545</v>
      </c>
      <c r="D96" s="431" t="s">
        <v>1113</v>
      </c>
      <c r="E96" s="431" t="s">
        <v>1443</v>
      </c>
      <c r="F96" s="431">
        <v>13</v>
      </c>
      <c r="G96" s="431">
        <v>191</v>
      </c>
      <c r="H96" s="431">
        <v>713</v>
      </c>
      <c r="I96" s="431">
        <v>9</v>
      </c>
      <c r="J96" s="431">
        <v>3.73</v>
      </c>
      <c r="K96" s="431">
        <v>54.85</v>
      </c>
    </row>
    <row r="97" spans="2:11">
      <c r="B97" s="431">
        <v>1</v>
      </c>
      <c r="C97" s="432" t="s">
        <v>1442</v>
      </c>
      <c r="D97" s="431" t="s">
        <v>1113</v>
      </c>
      <c r="E97" s="431" t="s">
        <v>1443</v>
      </c>
      <c r="F97" s="431">
        <v>12</v>
      </c>
      <c r="G97" s="431">
        <v>276</v>
      </c>
      <c r="H97" s="431">
        <v>1808</v>
      </c>
      <c r="I97" s="431">
        <v>19</v>
      </c>
      <c r="J97" s="431">
        <v>6.55</v>
      </c>
      <c r="K97" s="431">
        <v>150.66999999999999</v>
      </c>
    </row>
    <row r="98" spans="2:11">
      <c r="B98" s="431">
        <v>5</v>
      </c>
      <c r="C98" s="432" t="s">
        <v>1449</v>
      </c>
      <c r="D98" s="431" t="s">
        <v>1113</v>
      </c>
      <c r="E98" s="431" t="s">
        <v>1447</v>
      </c>
      <c r="F98" s="431">
        <v>13</v>
      </c>
      <c r="G98" s="431">
        <v>293</v>
      </c>
      <c r="H98" s="431">
        <v>1655</v>
      </c>
      <c r="I98" s="431">
        <v>21</v>
      </c>
      <c r="J98" s="431">
        <v>5.65</v>
      </c>
      <c r="K98" s="431">
        <v>127.31</v>
      </c>
    </row>
    <row r="99" spans="2:11">
      <c r="B99" s="431">
        <v>54</v>
      </c>
      <c r="C99" s="432" t="s">
        <v>1499</v>
      </c>
      <c r="D99" s="431" t="s">
        <v>1113</v>
      </c>
      <c r="E99" s="431" t="s">
        <v>1443</v>
      </c>
      <c r="F99" s="431">
        <v>13</v>
      </c>
      <c r="G99" s="431">
        <v>246</v>
      </c>
      <c r="H99" s="431">
        <v>1016</v>
      </c>
      <c r="I99" s="431">
        <v>1</v>
      </c>
      <c r="J99" s="431">
        <v>4.13</v>
      </c>
      <c r="K99" s="431">
        <v>78.150000000000006</v>
      </c>
    </row>
    <row r="100" spans="2:11">
      <c r="B100" s="431">
        <v>64</v>
      </c>
      <c r="C100" s="432" t="s">
        <v>1509</v>
      </c>
      <c r="D100" s="431" t="s">
        <v>1113</v>
      </c>
      <c r="E100" s="431" t="s">
        <v>1456</v>
      </c>
      <c r="F100" s="431">
        <v>13</v>
      </c>
      <c r="G100" s="431">
        <v>183</v>
      </c>
      <c r="H100" s="431">
        <v>952</v>
      </c>
      <c r="I100" s="431">
        <v>12</v>
      </c>
      <c r="J100" s="431">
        <v>5.2</v>
      </c>
      <c r="K100" s="431">
        <v>73.23</v>
      </c>
    </row>
    <row r="101" spans="2:11">
      <c r="B101" s="431">
        <v>95</v>
      </c>
      <c r="C101" s="432" t="s">
        <v>1541</v>
      </c>
      <c r="D101" s="431" t="s">
        <v>1113</v>
      </c>
      <c r="E101" s="431" t="s">
        <v>1443</v>
      </c>
      <c r="F101" s="431">
        <v>10</v>
      </c>
      <c r="G101" s="431">
        <v>124</v>
      </c>
      <c r="H101" s="431">
        <v>567</v>
      </c>
      <c r="I101" s="431">
        <v>1</v>
      </c>
      <c r="J101" s="431">
        <v>4.57</v>
      </c>
      <c r="K101" s="431">
        <v>56.7</v>
      </c>
    </row>
    <row r="102" spans="2:11">
      <c r="B102" s="431">
        <v>34</v>
      </c>
      <c r="C102" s="432" t="s">
        <v>1480</v>
      </c>
      <c r="D102" s="431" t="s">
        <v>1113</v>
      </c>
      <c r="E102" s="431" t="s">
        <v>1443</v>
      </c>
      <c r="F102" s="431">
        <v>13</v>
      </c>
      <c r="G102" s="431">
        <v>236</v>
      </c>
      <c r="H102" s="431">
        <v>1188</v>
      </c>
      <c r="I102" s="431">
        <v>12</v>
      </c>
      <c r="J102" s="431">
        <v>5.03</v>
      </c>
      <c r="K102" s="431">
        <v>91.38</v>
      </c>
    </row>
    <row r="103" spans="2:11">
      <c r="B103" s="431">
        <v>82</v>
      </c>
      <c r="C103" s="432" t="s">
        <v>1527</v>
      </c>
      <c r="D103" s="431" t="s">
        <v>1117</v>
      </c>
      <c r="E103" s="431" t="s">
        <v>1456</v>
      </c>
      <c r="F103" s="431">
        <v>13</v>
      </c>
      <c r="G103" s="431">
        <v>162</v>
      </c>
      <c r="H103" s="431">
        <v>779</v>
      </c>
      <c r="I103" s="431">
        <v>7</v>
      </c>
      <c r="J103" s="431">
        <v>4.8099999999999996</v>
      </c>
      <c r="K103" s="431">
        <v>59.92</v>
      </c>
    </row>
    <row r="104" spans="2:11">
      <c r="B104" s="431">
        <v>76</v>
      </c>
      <c r="C104" s="432" t="s">
        <v>1521</v>
      </c>
      <c r="D104" s="431" t="s">
        <v>1117</v>
      </c>
      <c r="E104" s="431" t="s">
        <v>1445</v>
      </c>
      <c r="F104" s="431">
        <v>14</v>
      </c>
      <c r="G104" s="431">
        <v>217</v>
      </c>
      <c r="H104" s="431">
        <v>910</v>
      </c>
      <c r="I104" s="431">
        <v>14</v>
      </c>
      <c r="J104" s="431">
        <v>4.1900000000000004</v>
      </c>
      <c r="K104" s="431">
        <v>65</v>
      </c>
    </row>
    <row r="105" spans="2:11">
      <c r="B105" s="431">
        <v>2</v>
      </c>
      <c r="C105" s="432" t="s">
        <v>1444</v>
      </c>
      <c r="D105" s="431" t="s">
        <v>1113</v>
      </c>
      <c r="E105" s="431" t="s">
        <v>1445</v>
      </c>
      <c r="F105" s="431">
        <v>13</v>
      </c>
      <c r="G105" s="431">
        <v>343</v>
      </c>
      <c r="H105" s="431">
        <v>1871</v>
      </c>
      <c r="I105" s="431">
        <v>28</v>
      </c>
      <c r="J105" s="431">
        <v>5.45</v>
      </c>
      <c r="K105" s="431">
        <v>143.91999999999999</v>
      </c>
    </row>
    <row r="106" spans="2:11">
      <c r="B106" s="431">
        <v>77</v>
      </c>
      <c r="C106" s="432" t="s">
        <v>1522</v>
      </c>
      <c r="D106" s="431" t="s">
        <v>1113</v>
      </c>
      <c r="E106" s="431" t="s">
        <v>1445</v>
      </c>
      <c r="F106" s="431">
        <v>12</v>
      </c>
      <c r="G106" s="431">
        <v>160</v>
      </c>
      <c r="H106" s="431">
        <v>773</v>
      </c>
      <c r="I106" s="431">
        <v>6</v>
      </c>
      <c r="J106" s="431">
        <v>4.83</v>
      </c>
      <c r="K106" s="431">
        <v>64.42</v>
      </c>
    </row>
    <row r="107" spans="2:11">
      <c r="B107" s="431">
        <v>86</v>
      </c>
      <c r="C107" s="432" t="s">
        <v>1531</v>
      </c>
      <c r="D107" s="431" t="s">
        <v>1117</v>
      </c>
      <c r="E107" s="431" t="s">
        <v>1447</v>
      </c>
      <c r="F107" s="431">
        <v>12</v>
      </c>
      <c r="G107" s="431">
        <v>202</v>
      </c>
      <c r="H107" s="431">
        <v>706</v>
      </c>
      <c r="I107" s="431">
        <v>5</v>
      </c>
      <c r="J107" s="431">
        <v>3.5</v>
      </c>
      <c r="K107" s="431">
        <v>58.83</v>
      </c>
    </row>
    <row r="108" spans="2:11">
      <c r="B108" s="431">
        <v>8</v>
      </c>
      <c r="C108" s="432" t="s">
        <v>1452</v>
      </c>
      <c r="D108" s="431" t="s">
        <v>1113</v>
      </c>
      <c r="E108" s="431" t="s">
        <v>1443</v>
      </c>
      <c r="F108" s="431">
        <v>11</v>
      </c>
      <c r="G108" s="431">
        <v>172</v>
      </c>
      <c r="H108" s="431">
        <v>1345</v>
      </c>
      <c r="I108" s="431">
        <v>10</v>
      </c>
      <c r="J108" s="431">
        <v>7.82</v>
      </c>
      <c r="K108" s="431">
        <v>122.27</v>
      </c>
    </row>
    <row r="109" spans="2:11">
      <c r="B109" s="431">
        <v>60</v>
      </c>
      <c r="C109" s="432" t="s">
        <v>1505</v>
      </c>
      <c r="D109" s="431" t="s">
        <v>1113</v>
      </c>
      <c r="E109" s="431" t="s">
        <v>1443</v>
      </c>
      <c r="F109" s="431">
        <v>13</v>
      </c>
      <c r="G109" s="431">
        <v>182</v>
      </c>
      <c r="H109" s="431">
        <v>971</v>
      </c>
      <c r="I109" s="431">
        <v>6</v>
      </c>
      <c r="J109" s="431">
        <v>5.34</v>
      </c>
      <c r="K109" s="431">
        <v>74.69</v>
      </c>
    </row>
    <row r="110" spans="2:11">
      <c r="B110" s="431">
        <v>75</v>
      </c>
      <c r="C110" s="432" t="s">
        <v>1520</v>
      </c>
      <c r="D110" s="431" t="s">
        <v>1113</v>
      </c>
      <c r="E110" s="431" t="s">
        <v>1447</v>
      </c>
      <c r="F110" s="431">
        <v>12</v>
      </c>
      <c r="G110" s="431">
        <v>145</v>
      </c>
      <c r="H110" s="431">
        <v>783</v>
      </c>
      <c r="I110" s="431">
        <v>3</v>
      </c>
      <c r="J110" s="431">
        <v>5.4</v>
      </c>
      <c r="K110" s="431">
        <v>65.25</v>
      </c>
    </row>
  </sheetData>
  <sortState ref="B10:K109">
    <sortCondition ref="C10"/>
  </sortState>
  <dataValidations count="2">
    <dataValidation type="list" allowBlank="1" showInputMessage="1" showErrorMessage="1" sqref="C3">
      <formula1>$C$11:$C$110</formula1>
    </dataValidation>
    <dataValidation type="list" allowBlank="1" showInputMessage="1" showErrorMessage="1" sqref="C4">
      <formula1>$D$10:$K$10</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J15"/>
  <sheetViews>
    <sheetView showGridLines="0" workbookViewId="0">
      <selection activeCell="F4" sqref="F4"/>
    </sheetView>
  </sheetViews>
  <sheetFormatPr defaultRowHeight="15.75"/>
  <cols>
    <col min="1" max="9" width="9.140625" style="142"/>
    <col min="10" max="10" width="29.7109375" style="142" customWidth="1"/>
    <col min="11" max="16384" width="9.140625" style="142"/>
  </cols>
  <sheetData>
    <row r="1" spans="1:10" ht="23.25">
      <c r="A1" s="33" t="s">
        <v>503</v>
      </c>
      <c r="E1" s="638" t="s">
        <v>2056</v>
      </c>
    </row>
    <row r="3" spans="1:10" ht="18.75">
      <c r="B3" s="429" t="s">
        <v>1564</v>
      </c>
      <c r="E3" s="19"/>
    </row>
    <row r="4" spans="1:10">
      <c r="E4" s="19"/>
    </row>
    <row r="5" spans="1:10" ht="32.25" thickBot="1">
      <c r="C5" s="255" t="s">
        <v>1565</v>
      </c>
      <c r="D5" s="379"/>
      <c r="E5" s="255" t="s">
        <v>596</v>
      </c>
      <c r="J5" s="388" t="s">
        <v>1043</v>
      </c>
    </row>
    <row r="6" spans="1:10">
      <c r="A6" s="142" t="s">
        <v>1566</v>
      </c>
      <c r="C6" s="243">
        <v>90</v>
      </c>
      <c r="D6" s="243"/>
      <c r="E6" s="243" t="str">
        <f>LOOKUP(C6,{0,60,63,67,70,73,77,80,83,87,90,93,97},{"F","D-","D","D+","C-","C","C+","B-","B","B+","A-","A","A+"})</f>
        <v>A-</v>
      </c>
      <c r="J6" s="142" t="s">
        <v>1576</v>
      </c>
    </row>
    <row r="7" spans="1:10">
      <c r="A7" s="142" t="s">
        <v>1567</v>
      </c>
      <c r="C7" s="243">
        <v>75</v>
      </c>
      <c r="D7" s="243"/>
      <c r="E7" s="243" t="str">
        <f>LOOKUP(C7,{0,60,63,67,70,73,77,80,83,87,90,93,97},{"F","D-","D","D+","C-","C","C+","B-","B","B+","A-","A","A+"})</f>
        <v>C</v>
      </c>
      <c r="J7" s="176" t="s">
        <v>1577</v>
      </c>
    </row>
    <row r="8" spans="1:10">
      <c r="A8" s="142" t="s">
        <v>1568</v>
      </c>
      <c r="C8" s="243">
        <v>62</v>
      </c>
      <c r="D8" s="243"/>
      <c r="E8" s="243" t="str">
        <f>LOOKUP(C8,{0,60,63,67,70,73,77,80,83,87,90,93,97},{"F","D-","D","D+","C-","C","C+","B-","B","B+","A-","A","A+"})</f>
        <v>D-</v>
      </c>
    </row>
    <row r="9" spans="1:10">
      <c r="A9" s="142" t="s">
        <v>1569</v>
      </c>
      <c r="C9" s="243">
        <v>100</v>
      </c>
      <c r="D9" s="243"/>
      <c r="E9" s="243" t="str">
        <f>LOOKUP(C9,{0,60,63,67,70,73,77,80,83,87,90,93,97},{"F","D-","D","D+","C-","C","C+","B-","B","B+","A-","A","A+"})</f>
        <v>A+</v>
      </c>
    </row>
    <row r="10" spans="1:10">
      <c r="A10" s="142" t="s">
        <v>1570</v>
      </c>
      <c r="C10" s="243">
        <v>98</v>
      </c>
      <c r="D10" s="243"/>
      <c r="E10" s="243" t="str">
        <f>LOOKUP(C10,{0,60,63,67,70,73,77,80,83,87,90,93,97},{"F","D-","D","D+","C-","C","C+","B-","B","B+","A-","A","A+"})</f>
        <v>A+</v>
      </c>
    </row>
    <row r="11" spans="1:10">
      <c r="A11" s="142" t="s">
        <v>1571</v>
      </c>
      <c r="C11" s="243">
        <v>86</v>
      </c>
      <c r="D11" s="243"/>
      <c r="E11" s="243" t="str">
        <f>LOOKUP(C11,{0,60,63,67,70,73,77,80,83,87,90,93,97},{"F","D-","D","D+","C-","C","C+","B-","B","B+","A-","A","A+"})</f>
        <v>B</v>
      </c>
    </row>
    <row r="12" spans="1:10">
      <c r="A12" s="142" t="s">
        <v>1572</v>
      </c>
      <c r="C12" s="243">
        <v>84</v>
      </c>
      <c r="D12" s="243"/>
      <c r="E12" s="243" t="str">
        <f>LOOKUP(C12,{0,60,63,67,70,73,77,80,83,87,90,93,97},{"F","D-","D","D+","C-","C","C+","B-","B","B+","A-","A","A+"})</f>
        <v>B</v>
      </c>
    </row>
    <row r="13" spans="1:10">
      <c r="A13" s="142" t="s">
        <v>1573</v>
      </c>
      <c r="C13" s="243">
        <v>95</v>
      </c>
      <c r="D13" s="243"/>
      <c r="E13" s="243" t="str">
        <f>LOOKUP(C13,{0,60,63,67,70,73,77,80,83,87,90,93,97},{"F","D-","D","D+","C-","C","C+","B-","B","B+","A-","A","A+"})</f>
        <v>A</v>
      </c>
    </row>
    <row r="14" spans="1:10">
      <c r="A14" s="142" t="s">
        <v>1574</v>
      </c>
      <c r="C14" s="243">
        <v>93</v>
      </c>
      <c r="D14" s="243"/>
      <c r="E14" s="243" t="str">
        <f>LOOKUP(C14,{0,60,63,67,70,73,77,80,83,87,90,93,97},{"F","D-","D","D+","C-","C","C+","B-","B","B+","A-","A","A+"})</f>
        <v>A</v>
      </c>
    </row>
    <row r="15" spans="1:10">
      <c r="A15" s="142" t="s">
        <v>1575</v>
      </c>
      <c r="C15" s="243">
        <v>57</v>
      </c>
      <c r="D15" s="243"/>
      <c r="E15" s="243" t="str">
        <f>LOOKUP(C15,{0,60,63,67,70,73,77,80,83,87,90,93,97},{"F","D-","D","D+","C-","C","C+","B-","B","B+","A-","A","A+"})</f>
        <v>F</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I20"/>
  <sheetViews>
    <sheetView showGridLines="0" workbookViewId="0">
      <selection activeCell="F4" sqref="F4"/>
    </sheetView>
  </sheetViews>
  <sheetFormatPr defaultRowHeight="15.75"/>
  <cols>
    <col min="1" max="1" width="9.140625" style="142"/>
    <col min="2" max="5" width="13.85546875" style="142" customWidth="1"/>
    <col min="6" max="7" width="9.140625" style="142"/>
    <col min="8" max="8" width="25.140625" style="142" customWidth="1"/>
    <col min="9" max="9" width="12.7109375" style="142" bestFit="1" customWidth="1"/>
    <col min="10" max="16384" width="9.140625" style="142"/>
  </cols>
  <sheetData>
    <row r="1" spans="1:9" ht="23.25">
      <c r="A1" s="33" t="s">
        <v>1578</v>
      </c>
      <c r="E1" s="638" t="s">
        <v>2056</v>
      </c>
    </row>
    <row r="2" spans="1:9" ht="23.25">
      <c r="A2" s="418" t="s">
        <v>1579</v>
      </c>
    </row>
    <row r="3" spans="1:9">
      <c r="C3" s="177"/>
      <c r="H3" s="177" t="s">
        <v>645</v>
      </c>
      <c r="I3" s="151">
        <v>286000</v>
      </c>
    </row>
    <row r="4" spans="1:9">
      <c r="H4" s="177"/>
      <c r="I4" s="151"/>
    </row>
    <row r="5" spans="1:9">
      <c r="H5" s="177" t="s">
        <v>1421</v>
      </c>
      <c r="I5" s="151">
        <v>45000</v>
      </c>
    </row>
    <row r="6" spans="1:9">
      <c r="B6" s="310" t="s">
        <v>1412</v>
      </c>
      <c r="C6" s="310" t="s">
        <v>1413</v>
      </c>
      <c r="D6" s="310" t="s">
        <v>612</v>
      </c>
      <c r="E6" s="310" t="s">
        <v>1414</v>
      </c>
      <c r="H6" s="177" t="s">
        <v>1422</v>
      </c>
      <c r="I6" s="151">
        <v>33000</v>
      </c>
    </row>
    <row r="7" spans="1:9">
      <c r="B7" s="419">
        <v>0</v>
      </c>
      <c r="C7" s="419">
        <v>12750</v>
      </c>
      <c r="D7" s="419">
        <v>0</v>
      </c>
      <c r="E7" s="420">
        <v>0.06</v>
      </c>
      <c r="H7" s="177" t="s">
        <v>1423</v>
      </c>
      <c r="I7" s="151">
        <v>14500</v>
      </c>
    </row>
    <row r="8" spans="1:9">
      <c r="B8" s="419">
        <v>12750</v>
      </c>
      <c r="C8" s="419">
        <v>60000</v>
      </c>
      <c r="D8" s="419">
        <v>765</v>
      </c>
      <c r="E8" s="420">
        <v>7.0000000000000007E-2</v>
      </c>
      <c r="H8" s="177" t="s">
        <v>1424</v>
      </c>
      <c r="I8" s="151">
        <v>23500</v>
      </c>
    </row>
    <row r="9" spans="1:9">
      <c r="B9" s="419">
        <v>60000</v>
      </c>
      <c r="C9" s="419">
        <v>120000</v>
      </c>
      <c r="D9" s="419">
        <v>4072.5</v>
      </c>
      <c r="E9" s="420">
        <v>7.7499999999999999E-2</v>
      </c>
      <c r="H9" s="177" t="s">
        <v>1425</v>
      </c>
      <c r="I9" s="151">
        <v>30000</v>
      </c>
    </row>
    <row r="10" spans="1:9">
      <c r="B10" s="419">
        <v>120000</v>
      </c>
      <c r="C10" s="421" t="s">
        <v>1415</v>
      </c>
      <c r="D10" s="419">
        <v>8722.5</v>
      </c>
      <c r="E10" s="420">
        <v>8.2500000000000004E-2</v>
      </c>
      <c r="H10" s="177" t="s">
        <v>1426</v>
      </c>
      <c r="I10" s="151">
        <v>17000</v>
      </c>
    </row>
    <row r="11" spans="1:9">
      <c r="B11" s="3"/>
      <c r="C11" s="3"/>
      <c r="D11" s="422"/>
      <c r="E11" s="423"/>
      <c r="H11" s="177" t="s">
        <v>1427</v>
      </c>
      <c r="I11" s="151">
        <v>32000</v>
      </c>
    </row>
    <row r="12" spans="1:9">
      <c r="B12" s="3"/>
      <c r="C12" s="3"/>
      <c r="D12" s="3"/>
      <c r="E12" s="423"/>
      <c r="H12" s="177"/>
      <c r="I12" s="151"/>
    </row>
    <row r="13" spans="1:9">
      <c r="B13" s="189" t="s">
        <v>1416</v>
      </c>
      <c r="C13" s="189"/>
      <c r="D13" s="189"/>
      <c r="E13" s="192">
        <f>I15</f>
        <v>91000</v>
      </c>
      <c r="H13" s="177" t="s">
        <v>1428</v>
      </c>
      <c r="I13" s="424">
        <f>SUM(I5:I11)</f>
        <v>195000</v>
      </c>
    </row>
    <row r="14" spans="1:9">
      <c r="B14" s="189" t="s">
        <v>1417</v>
      </c>
      <c r="C14" s="189"/>
      <c r="D14" s="189"/>
      <c r="E14" s="192">
        <f>VLOOKUP(E13,$B$6:$E$10,MATCH("From",$B$6:$E$6,))</f>
        <v>60000</v>
      </c>
      <c r="H14" s="177"/>
      <c r="I14" s="151"/>
    </row>
    <row r="15" spans="1:9">
      <c r="B15" s="189" t="s">
        <v>1418</v>
      </c>
      <c r="C15" s="3"/>
      <c r="D15" s="3"/>
      <c r="E15" s="192">
        <f>VLOOKUP(E14,$B$6:$E$10,MATCH("Tax",$B$6:$E$6,))</f>
        <v>4072.5</v>
      </c>
      <c r="H15" s="177" t="s">
        <v>607</v>
      </c>
      <c r="I15" s="424">
        <f>I3-I13</f>
        <v>91000</v>
      </c>
    </row>
    <row r="16" spans="1:9">
      <c r="B16" s="189" t="s">
        <v>1419</v>
      </c>
      <c r="C16" s="3"/>
      <c r="D16" s="3"/>
      <c r="E16" s="425">
        <f>VLOOKUP(E15,$B$6:$E$10,MATCH("Percent",$B$6:$E$6,))</f>
        <v>0.06</v>
      </c>
    </row>
    <row r="17" spans="2:9">
      <c r="B17" s="3"/>
      <c r="C17" s="3"/>
      <c r="D17" s="3"/>
      <c r="E17" s="426"/>
      <c r="H17" s="177" t="s">
        <v>612</v>
      </c>
      <c r="I17" s="151">
        <f>E18</f>
        <v>5932.5</v>
      </c>
    </row>
    <row r="18" spans="2:9" ht="16.5" thickBot="1">
      <c r="B18" s="189" t="s">
        <v>1420</v>
      </c>
      <c r="C18" s="3"/>
      <c r="D18" s="3"/>
      <c r="E18" s="427">
        <f>E15+((E13-E14)*E16)</f>
        <v>5932.5</v>
      </c>
      <c r="H18" s="177"/>
      <c r="I18" s="151"/>
    </row>
    <row r="19" spans="2:9" ht="17.25" thickTop="1" thickBot="1">
      <c r="B19" s="3"/>
      <c r="C19" s="3"/>
      <c r="D19" s="3"/>
      <c r="E19" s="423"/>
      <c r="H19" s="177" t="s">
        <v>1429</v>
      </c>
      <c r="I19" s="428">
        <f>I15-I17</f>
        <v>85067.5</v>
      </c>
    </row>
    <row r="20" spans="2:9" ht="16.5" thickTop="1"/>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E10"/>
  <sheetViews>
    <sheetView showGridLines="0" workbookViewId="0">
      <selection activeCell="F4" sqref="F4"/>
    </sheetView>
  </sheetViews>
  <sheetFormatPr defaultRowHeight="15.75"/>
  <cols>
    <col min="1" max="2" width="9.140625" style="142"/>
    <col min="3" max="3" width="65.42578125" style="142" customWidth="1"/>
    <col min="4" max="16384" width="9.140625" style="142"/>
  </cols>
  <sheetData>
    <row r="1" spans="1:5" ht="23.25">
      <c r="A1" s="33" t="s">
        <v>1582</v>
      </c>
      <c r="E1" s="638" t="s">
        <v>2056</v>
      </c>
    </row>
    <row r="5" spans="1:5">
      <c r="C5" s="142" t="s">
        <v>1580</v>
      </c>
    </row>
    <row r="6" spans="1:5">
      <c r="C6" s="142" t="s">
        <v>1581</v>
      </c>
    </row>
    <row r="9" spans="1:5">
      <c r="C9" s="175" t="str">
        <f>TRIM(C5)</f>
        <v>Mickey Mouse $45,000 344-55-3221 Orlando, Florida</v>
      </c>
    </row>
    <row r="10" spans="1:5">
      <c r="C10" s="175" t="str">
        <f>TRIM(C6)</f>
        <v>Goofy, $56,000 222-33-8877 Orlando, Florida</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E35"/>
  <sheetViews>
    <sheetView showGridLines="0" workbookViewId="0">
      <selection activeCell="F4" sqref="F4"/>
    </sheetView>
  </sheetViews>
  <sheetFormatPr defaultRowHeight="15.75"/>
  <cols>
    <col min="1" max="1" width="9.140625" style="142"/>
    <col min="2" max="2" width="33.5703125" style="142" customWidth="1"/>
    <col min="3" max="3" width="9.140625" style="142"/>
    <col min="4" max="4" width="32.85546875" style="142" customWidth="1"/>
    <col min="5" max="16384" width="9.140625" style="142"/>
  </cols>
  <sheetData>
    <row r="1" spans="1:5" ht="23.25">
      <c r="A1" s="33" t="s">
        <v>1583</v>
      </c>
      <c r="E1" s="638" t="s">
        <v>2056</v>
      </c>
    </row>
    <row r="4" spans="1:5">
      <c r="B4" s="416" t="s">
        <v>575</v>
      </c>
      <c r="D4" s="142" t="str">
        <f>PROPER(B4)</f>
        <v>Automobile Expense</v>
      </c>
    </row>
    <row r="5" spans="1:5">
      <c r="B5" s="416" t="s">
        <v>576</v>
      </c>
      <c r="D5" s="142" t="str">
        <f t="shared" ref="D5:D35" si="0">PROPER(B5)</f>
        <v>Bank Service Charges</v>
      </c>
    </row>
    <row r="6" spans="1:5">
      <c r="B6" s="416" t="s">
        <v>577</v>
      </c>
      <c r="D6" s="142" t="str">
        <f t="shared" si="0"/>
        <v>Conference Registration Fees</v>
      </c>
    </row>
    <row r="7" spans="1:5">
      <c r="B7" s="416" t="s">
        <v>578</v>
      </c>
      <c r="D7" s="142" t="str">
        <f t="shared" si="0"/>
        <v>Contract Labor</v>
      </c>
    </row>
    <row r="8" spans="1:5">
      <c r="B8" s="416" t="s">
        <v>579</v>
      </c>
      <c r="D8" s="142" t="str">
        <f t="shared" si="0"/>
        <v>Contributions</v>
      </c>
    </row>
    <row r="9" spans="1:5">
      <c r="B9" s="416" t="s">
        <v>580</v>
      </c>
      <c r="D9" s="142" t="str">
        <f t="shared" si="0"/>
        <v>Dues And Subscriptions</v>
      </c>
    </row>
    <row r="10" spans="1:5">
      <c r="B10" s="416" t="s">
        <v>581</v>
      </c>
      <c r="D10" s="142" t="str">
        <f t="shared" si="0"/>
        <v>Equipment Purchase</v>
      </c>
    </row>
    <row r="11" spans="1:5">
      <c r="B11" s="416" t="s">
        <v>582</v>
      </c>
      <c r="D11" s="142" t="str">
        <f t="shared" si="0"/>
        <v>Equipment Rental</v>
      </c>
    </row>
    <row r="12" spans="1:5">
      <c r="B12" s="416" t="s">
        <v>583</v>
      </c>
      <c r="D12" s="142" t="str">
        <f t="shared" si="0"/>
        <v>Hardware Purchase</v>
      </c>
    </row>
    <row r="13" spans="1:5">
      <c r="B13" s="416" t="s">
        <v>584</v>
      </c>
      <c r="D13" s="142" t="str">
        <f t="shared" si="0"/>
        <v>Insurance</v>
      </c>
    </row>
    <row r="14" spans="1:5">
      <c r="B14" s="416" t="s">
        <v>585</v>
      </c>
      <c r="D14" s="142" t="str">
        <f t="shared" si="0"/>
        <v>Marketing Giveaways</v>
      </c>
    </row>
    <row r="15" spans="1:5">
      <c r="B15" s="416" t="s">
        <v>586</v>
      </c>
      <c r="D15" s="142" t="str">
        <f t="shared" si="0"/>
        <v>Memberships</v>
      </c>
    </row>
    <row r="16" spans="1:5">
      <c r="B16" s="416" t="s">
        <v>587</v>
      </c>
      <c r="D16" s="142" t="str">
        <f t="shared" si="0"/>
        <v>Miscellaneous</v>
      </c>
    </row>
    <row r="17" spans="2:4">
      <c r="B17" s="416" t="s">
        <v>588</v>
      </c>
      <c r="D17" s="142" t="str">
        <f t="shared" si="0"/>
        <v>Office Supplies</v>
      </c>
    </row>
    <row r="18" spans="2:4">
      <c r="B18" s="416" t="s">
        <v>589</v>
      </c>
      <c r="D18" s="142" t="str">
        <f t="shared" si="0"/>
        <v>Online Computer Services</v>
      </c>
    </row>
    <row r="19" spans="2:4">
      <c r="B19" s="416" t="s">
        <v>590</v>
      </c>
      <c r="D19" s="142" t="str">
        <f t="shared" si="0"/>
        <v>Outside Services</v>
      </c>
    </row>
    <row r="20" spans="2:4">
      <c r="B20" s="416" t="s">
        <v>591</v>
      </c>
      <c r="D20" s="142" t="str">
        <f t="shared" si="0"/>
        <v>Partner Salary Draw</v>
      </c>
    </row>
    <row r="21" spans="2:4">
      <c r="B21" s="416" t="s">
        <v>592</v>
      </c>
      <c r="D21" s="142" t="str">
        <f t="shared" si="0"/>
        <v>Payroll Expenses</v>
      </c>
    </row>
    <row r="22" spans="2:4">
      <c r="B22" s="416" t="s">
        <v>711</v>
      </c>
      <c r="D22" s="142" t="str">
        <f t="shared" si="0"/>
        <v>Postage And Delivery</v>
      </c>
    </row>
    <row r="23" spans="2:4">
      <c r="B23" s="416" t="s">
        <v>712</v>
      </c>
      <c r="D23" s="142" t="str">
        <f t="shared" si="0"/>
        <v>Printing And Reproduction</v>
      </c>
    </row>
    <row r="24" spans="2:4">
      <c r="B24" s="416" t="s">
        <v>713</v>
      </c>
      <c r="D24" s="142" t="str">
        <f t="shared" si="0"/>
        <v>Purchase - The Accounting Libra</v>
      </c>
    </row>
    <row r="25" spans="2:4">
      <c r="B25" s="416" t="s">
        <v>714</v>
      </c>
      <c r="D25" s="142" t="str">
        <f t="shared" si="0"/>
        <v>Purchases Tal- Web Store Report</v>
      </c>
    </row>
    <row r="26" spans="2:4">
      <c r="B26" s="416" t="s">
        <v>715</v>
      </c>
      <c r="D26" s="142" t="str">
        <f t="shared" si="0"/>
        <v>Rent</v>
      </c>
    </row>
    <row r="27" spans="2:4">
      <c r="B27" s="416" t="s">
        <v>716</v>
      </c>
      <c r="D27" s="142" t="str">
        <f t="shared" si="0"/>
        <v>Repairs</v>
      </c>
    </row>
    <row r="28" spans="2:4">
      <c r="B28" s="416" t="s">
        <v>717</v>
      </c>
      <c r="D28" s="142" t="str">
        <f t="shared" si="0"/>
        <v>Software Purchase</v>
      </c>
    </row>
    <row r="29" spans="2:4">
      <c r="B29" s="416" t="s">
        <v>718</v>
      </c>
      <c r="D29" s="142" t="str">
        <f t="shared" si="0"/>
        <v>Ssi-Misc</v>
      </c>
    </row>
    <row r="30" spans="2:4">
      <c r="B30" s="416" t="s">
        <v>719</v>
      </c>
      <c r="D30" s="142" t="str">
        <f t="shared" si="0"/>
        <v>Taxes</v>
      </c>
    </row>
    <row r="31" spans="2:4">
      <c r="B31" s="417" t="s">
        <v>720</v>
      </c>
      <c r="D31" s="142" t="str">
        <f t="shared" si="0"/>
        <v>Federal</v>
      </c>
    </row>
    <row r="32" spans="2:4">
      <c r="B32" s="417" t="s">
        <v>721</v>
      </c>
      <c r="D32" s="142" t="str">
        <f t="shared" si="0"/>
        <v>State</v>
      </c>
    </row>
    <row r="33" spans="2:4">
      <c r="B33" s="416" t="s">
        <v>722</v>
      </c>
      <c r="D33" s="142" t="str">
        <f t="shared" si="0"/>
        <v>Total Taxes</v>
      </c>
    </row>
    <row r="34" spans="2:4">
      <c r="B34" s="327" t="s">
        <v>723</v>
      </c>
      <c r="D34" s="142" t="str">
        <f t="shared" si="0"/>
        <v/>
      </c>
    </row>
    <row r="35" spans="2:4">
      <c r="B35" s="327" t="s">
        <v>724</v>
      </c>
      <c r="D35" s="142" t="str">
        <f t="shared" si="0"/>
        <v>Total Expenses</v>
      </c>
    </row>
  </sheetData>
  <conditionalFormatting sqref="B5:B35">
    <cfRule type="expression" dxfId="9" priority="2" stopIfTrue="1">
      <formula>"istext(b3:i34)"</formula>
    </cfRule>
  </conditionalFormatting>
  <conditionalFormatting sqref="B4">
    <cfRule type="expression" dxfId="8" priority="1" stopIfTrue="1">
      <formula>"istext(b3)"</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E20"/>
  <sheetViews>
    <sheetView showGridLines="0" workbookViewId="0">
      <selection activeCell="F4" sqref="F4"/>
    </sheetView>
  </sheetViews>
  <sheetFormatPr defaultRowHeight="17.25" customHeight="1"/>
  <cols>
    <col min="1" max="1" width="9.140625" style="142"/>
    <col min="2" max="2" width="78" style="142" customWidth="1"/>
    <col min="3" max="16384" width="9.140625" style="142"/>
  </cols>
  <sheetData>
    <row r="1" spans="1:5" ht="25.5" customHeight="1">
      <c r="A1" s="33" t="s">
        <v>1584</v>
      </c>
      <c r="E1" s="638" t="s">
        <v>2056</v>
      </c>
    </row>
    <row r="4" spans="1:5" ht="17.25" customHeight="1">
      <c r="B4" s="409" t="s">
        <v>1585</v>
      </c>
    </row>
    <row r="5" spans="1:5" ht="17.25" customHeight="1">
      <c r="B5" s="410" t="s">
        <v>1586</v>
      </c>
    </row>
    <row r="6" spans="1:5" ht="17.25" customHeight="1">
      <c r="B6" s="411" t="s">
        <v>1587</v>
      </c>
    </row>
    <row r="7" spans="1:5" ht="17.25" customHeight="1">
      <c r="B7" s="411" t="s">
        <v>1588</v>
      </c>
    </row>
    <row r="8" spans="1:5" ht="17.25" customHeight="1">
      <c r="B8" s="412" t="s">
        <v>1589</v>
      </c>
    </row>
    <row r="9" spans="1:5" ht="17.25" customHeight="1">
      <c r="B9" s="412" t="s">
        <v>1590</v>
      </c>
    </row>
    <row r="10" spans="1:5" ht="17.25" customHeight="1">
      <c r="B10" s="412" t="s">
        <v>1591</v>
      </c>
    </row>
    <row r="11" spans="1:5" ht="17.25" customHeight="1">
      <c r="B11" s="413" t="s">
        <v>1592</v>
      </c>
    </row>
    <row r="12" spans="1:5" ht="17.25" customHeight="1">
      <c r="B12" s="414"/>
    </row>
    <row r="13" spans="1:5" ht="17.25" customHeight="1">
      <c r="B13" s="415" t="str">
        <f>LOWER(B4)</f>
        <v>we the people of the united states</v>
      </c>
    </row>
    <row r="14" spans="1:5" ht="17.25" customHeight="1">
      <c r="B14" s="412" t="str">
        <f t="shared" ref="B14:B20" si="0">LOWER(B5)</f>
        <v>in order to form a more perfect union</v>
      </c>
    </row>
    <row r="15" spans="1:5" ht="17.25" customHeight="1">
      <c r="B15" s="412" t="str">
        <f t="shared" si="0"/>
        <v>establish justice</v>
      </c>
    </row>
    <row r="16" spans="1:5" ht="17.25" customHeight="1">
      <c r="B16" s="412" t="str">
        <f t="shared" si="0"/>
        <v>insure domestic tranquility</v>
      </c>
    </row>
    <row r="17" spans="2:2" ht="17.25" customHeight="1">
      <c r="B17" s="412" t="str">
        <f t="shared" si="0"/>
        <v>provide for the common defense</v>
      </c>
    </row>
    <row r="18" spans="2:2" ht="17.25" customHeight="1">
      <c r="B18" s="412" t="str">
        <f t="shared" si="0"/>
        <v>promote the general welfare</v>
      </c>
    </row>
    <row r="19" spans="2:2" ht="17.25" customHeight="1">
      <c r="B19" s="412" t="str">
        <f t="shared" si="0"/>
        <v>and secure the blessings of liberty to ourselves and our posterity</v>
      </c>
    </row>
    <row r="20" spans="2:2" ht="17.25" customHeight="1">
      <c r="B20" s="413" t="str">
        <f t="shared" si="0"/>
        <v xml:space="preserve">do ordain and establish this constitution for the united states of america. </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F54"/>
  <sheetViews>
    <sheetView showGridLines="0" zoomScale="80" zoomScaleNormal="80" workbookViewId="0">
      <selection activeCell="F4" sqref="F4"/>
    </sheetView>
  </sheetViews>
  <sheetFormatPr defaultRowHeight="15.75"/>
  <cols>
    <col min="1" max="1" width="9.140625" style="142"/>
    <col min="2" max="2" width="25.140625" style="142" customWidth="1"/>
    <col min="3" max="3" width="39.140625" style="142" customWidth="1"/>
    <col min="4" max="5" width="12.5703125" style="243" customWidth="1"/>
    <col min="6" max="6" width="13.85546875" style="142" bestFit="1" customWidth="1"/>
    <col min="7" max="16384" width="9.140625" style="142"/>
  </cols>
  <sheetData>
    <row r="1" spans="1:6" ht="23.25">
      <c r="A1" s="33" t="s">
        <v>1593</v>
      </c>
      <c r="E1" s="638" t="s">
        <v>2056</v>
      </c>
    </row>
    <row r="4" spans="1:6" ht="21">
      <c r="B4" s="650" t="s">
        <v>1594</v>
      </c>
      <c r="C4" s="650"/>
      <c r="D4" s="650"/>
      <c r="E4" s="650"/>
      <c r="F4" s="650"/>
    </row>
    <row r="6" spans="1:6" s="401" customFormat="1" ht="32.25" thickBot="1">
      <c r="B6" s="256" t="s">
        <v>1607</v>
      </c>
      <c r="C6" s="255" t="s">
        <v>100</v>
      </c>
      <c r="D6" s="255" t="s">
        <v>1608</v>
      </c>
      <c r="E6" s="255" t="s">
        <v>1609</v>
      </c>
      <c r="F6" s="256" t="s">
        <v>1610</v>
      </c>
    </row>
    <row r="7" spans="1:6">
      <c r="B7" s="176" t="s">
        <v>1614</v>
      </c>
      <c r="C7" s="402" t="s">
        <v>1598</v>
      </c>
      <c r="D7" s="403">
        <v>84</v>
      </c>
      <c r="E7" s="404">
        <v>20</v>
      </c>
      <c r="F7" s="405">
        <v>3995</v>
      </c>
    </row>
    <row r="8" spans="1:6">
      <c r="B8" s="176" t="s">
        <v>1626</v>
      </c>
      <c r="C8" s="402" t="s">
        <v>1598</v>
      </c>
      <c r="D8" s="403">
        <v>24</v>
      </c>
      <c r="E8" s="404">
        <v>20</v>
      </c>
      <c r="F8" s="405">
        <v>3995</v>
      </c>
    </row>
    <row r="9" spans="1:6" ht="17.25" customHeight="1">
      <c r="B9" s="176" t="s">
        <v>1638</v>
      </c>
      <c r="C9" s="402" t="s">
        <v>1598</v>
      </c>
      <c r="D9" s="403">
        <v>38</v>
      </c>
      <c r="E9" s="404">
        <v>20</v>
      </c>
      <c r="F9" s="405">
        <v>3995</v>
      </c>
    </row>
    <row r="10" spans="1:6" ht="17.25" customHeight="1">
      <c r="B10" s="176" t="s">
        <v>1650</v>
      </c>
      <c r="C10" s="402" t="s">
        <v>1598</v>
      </c>
      <c r="D10" s="403">
        <v>24</v>
      </c>
      <c r="E10" s="404">
        <v>20</v>
      </c>
      <c r="F10" s="405">
        <v>3995</v>
      </c>
    </row>
    <row r="11" spans="1:6" ht="17.25" customHeight="1">
      <c r="B11" s="176" t="s">
        <v>1612</v>
      </c>
      <c r="C11" s="402" t="s">
        <v>1596</v>
      </c>
      <c r="D11" s="403">
        <v>66</v>
      </c>
      <c r="E11" s="404">
        <v>24</v>
      </c>
      <c r="F11" s="405">
        <v>132.99</v>
      </c>
    </row>
    <row r="12" spans="1:6" ht="17.25" customHeight="1">
      <c r="B12" s="176" t="s">
        <v>1624</v>
      </c>
      <c r="C12" s="402" t="s">
        <v>1596</v>
      </c>
      <c r="D12" s="403">
        <v>42</v>
      </c>
      <c r="E12" s="404">
        <v>24</v>
      </c>
      <c r="F12" s="405">
        <v>132.99</v>
      </c>
    </row>
    <row r="13" spans="1:6">
      <c r="B13" s="176" t="s">
        <v>1636</v>
      </c>
      <c r="C13" s="402" t="s">
        <v>1596</v>
      </c>
      <c r="D13" s="403">
        <v>42</v>
      </c>
      <c r="E13" s="404">
        <v>24</v>
      </c>
      <c r="F13" s="405">
        <v>132.99</v>
      </c>
    </row>
    <row r="14" spans="1:6">
      <c r="B14" s="176" t="s">
        <v>1648</v>
      </c>
      <c r="C14" s="402" t="s">
        <v>1596</v>
      </c>
      <c r="D14" s="403">
        <v>62</v>
      </c>
      <c r="E14" s="404">
        <v>24</v>
      </c>
      <c r="F14" s="405">
        <v>132.99</v>
      </c>
    </row>
    <row r="15" spans="1:6">
      <c r="B15" s="176" t="s">
        <v>1618</v>
      </c>
      <c r="C15" s="402" t="s">
        <v>1602</v>
      </c>
      <c r="D15" s="403">
        <v>466</v>
      </c>
      <c r="E15" s="404">
        <v>125</v>
      </c>
      <c r="F15" s="405">
        <v>21.99</v>
      </c>
    </row>
    <row r="16" spans="1:6">
      <c r="B16" s="176" t="s">
        <v>1630</v>
      </c>
      <c r="C16" s="402" t="s">
        <v>1602</v>
      </c>
      <c r="D16" s="403">
        <v>212</v>
      </c>
      <c r="E16" s="404">
        <v>125</v>
      </c>
      <c r="F16" s="405">
        <v>21.99</v>
      </c>
    </row>
    <row r="17" spans="2:6">
      <c r="B17" s="176" t="s">
        <v>1642</v>
      </c>
      <c r="C17" s="402" t="s">
        <v>1602</v>
      </c>
      <c r="D17" s="403">
        <v>76</v>
      </c>
      <c r="E17" s="404">
        <v>125</v>
      </c>
      <c r="F17" s="405">
        <v>21.99</v>
      </c>
    </row>
    <row r="18" spans="2:6">
      <c r="B18" s="176" t="s">
        <v>1654</v>
      </c>
      <c r="C18" s="402" t="s">
        <v>1602</v>
      </c>
      <c r="D18" s="403">
        <v>20</v>
      </c>
      <c r="E18" s="404">
        <v>125</v>
      </c>
      <c r="F18" s="405">
        <v>21.99</v>
      </c>
    </row>
    <row r="19" spans="2:6">
      <c r="B19" s="176" t="s">
        <v>1619</v>
      </c>
      <c r="C19" s="402" t="s">
        <v>1603</v>
      </c>
      <c r="D19" s="403">
        <v>84</v>
      </c>
      <c r="E19" s="404">
        <v>15</v>
      </c>
      <c r="F19" s="405">
        <v>1396.99</v>
      </c>
    </row>
    <row r="20" spans="2:6">
      <c r="B20" s="176" t="s">
        <v>1631</v>
      </c>
      <c r="C20" s="402" t="s">
        <v>1603</v>
      </c>
      <c r="D20" s="403">
        <v>354</v>
      </c>
      <c r="E20" s="404">
        <v>15</v>
      </c>
      <c r="F20" s="405">
        <v>1396.99</v>
      </c>
    </row>
    <row r="21" spans="2:6">
      <c r="B21" s="176" t="s">
        <v>1643</v>
      </c>
      <c r="C21" s="402" t="s">
        <v>1603</v>
      </c>
      <c r="D21" s="403">
        <v>161</v>
      </c>
      <c r="E21" s="404">
        <v>15</v>
      </c>
      <c r="F21" s="405">
        <v>1396.99</v>
      </c>
    </row>
    <row r="22" spans="2:6">
      <c r="B22" s="176" t="s">
        <v>1655</v>
      </c>
      <c r="C22" s="402" t="s">
        <v>1603</v>
      </c>
      <c r="D22" s="403">
        <v>57</v>
      </c>
      <c r="E22" s="404">
        <v>15</v>
      </c>
      <c r="F22" s="405">
        <v>1396.99</v>
      </c>
    </row>
    <row r="23" spans="2:6">
      <c r="B23" s="176" t="s">
        <v>1616</v>
      </c>
      <c r="C23" s="389" t="s">
        <v>1600</v>
      </c>
      <c r="D23" s="403">
        <v>132</v>
      </c>
      <c r="E23" s="406">
        <v>30</v>
      </c>
      <c r="F23" s="405">
        <v>129.99</v>
      </c>
    </row>
    <row r="24" spans="2:6">
      <c r="B24" s="176" t="s">
        <v>1628</v>
      </c>
      <c r="C24" s="389" t="s">
        <v>1600</v>
      </c>
      <c r="D24" s="403">
        <v>34</v>
      </c>
      <c r="E24" s="406">
        <v>30</v>
      </c>
      <c r="F24" s="405">
        <v>129.99</v>
      </c>
    </row>
    <row r="25" spans="2:6">
      <c r="B25" s="176" t="s">
        <v>1640</v>
      </c>
      <c r="C25" s="389" t="s">
        <v>1600</v>
      </c>
      <c r="D25" s="403">
        <v>48</v>
      </c>
      <c r="E25" s="406">
        <v>30</v>
      </c>
      <c r="F25" s="405">
        <v>129.99</v>
      </c>
    </row>
    <row r="26" spans="2:6">
      <c r="B26" s="176" t="s">
        <v>1652</v>
      </c>
      <c r="C26" s="389" t="s">
        <v>1600</v>
      </c>
      <c r="D26" s="403">
        <v>14</v>
      </c>
      <c r="E26" s="406">
        <v>30</v>
      </c>
      <c r="F26" s="405">
        <v>129.99</v>
      </c>
    </row>
    <row r="27" spans="2:6">
      <c r="B27" s="176" t="s">
        <v>1621</v>
      </c>
      <c r="C27" s="402" t="s">
        <v>1605</v>
      </c>
      <c r="D27" s="403">
        <v>90</v>
      </c>
      <c r="E27" s="404">
        <v>25</v>
      </c>
      <c r="F27" s="405">
        <v>53.99</v>
      </c>
    </row>
    <row r="28" spans="2:6">
      <c r="B28" s="176" t="s">
        <v>1633</v>
      </c>
      <c r="C28" s="402" t="s">
        <v>1605</v>
      </c>
      <c r="D28" s="403">
        <v>112</v>
      </c>
      <c r="E28" s="404">
        <v>25</v>
      </c>
      <c r="F28" s="405">
        <v>53.99</v>
      </c>
    </row>
    <row r="29" spans="2:6">
      <c r="B29" s="176" t="s">
        <v>1645</v>
      </c>
      <c r="C29" s="402" t="s">
        <v>1605</v>
      </c>
      <c r="D29" s="403">
        <v>48</v>
      </c>
      <c r="E29" s="404">
        <v>25</v>
      </c>
      <c r="F29" s="405">
        <v>53.99</v>
      </c>
    </row>
    <row r="30" spans="2:6">
      <c r="B30" s="176" t="s">
        <v>1657</v>
      </c>
      <c r="C30" s="402" t="s">
        <v>1605</v>
      </c>
      <c r="D30" s="403">
        <v>204</v>
      </c>
      <c r="E30" s="404">
        <v>25</v>
      </c>
      <c r="F30" s="405">
        <v>53.99</v>
      </c>
    </row>
    <row r="31" spans="2:6">
      <c r="B31" s="176" t="s">
        <v>1620</v>
      </c>
      <c r="C31" s="402" t="s">
        <v>1604</v>
      </c>
      <c r="D31" s="403">
        <v>148</v>
      </c>
      <c r="E31" s="404">
        <v>30</v>
      </c>
      <c r="F31" s="405">
        <v>155.66</v>
      </c>
    </row>
    <row r="32" spans="2:6">
      <c r="B32" s="176" t="s">
        <v>1632</v>
      </c>
      <c r="C32" s="402" t="s">
        <v>1604</v>
      </c>
      <c r="D32" s="403">
        <v>63</v>
      </c>
      <c r="E32" s="404">
        <v>30</v>
      </c>
      <c r="F32" s="405">
        <v>155.66</v>
      </c>
    </row>
    <row r="33" spans="2:6">
      <c r="B33" s="176" t="s">
        <v>1644</v>
      </c>
      <c r="C33" s="402" t="s">
        <v>1604</v>
      </c>
      <c r="D33" s="403">
        <v>269</v>
      </c>
      <c r="E33" s="404">
        <v>30</v>
      </c>
      <c r="F33" s="405">
        <v>155.66</v>
      </c>
    </row>
    <row r="34" spans="2:6">
      <c r="B34" s="176" t="s">
        <v>1656</v>
      </c>
      <c r="C34" s="402" t="s">
        <v>1604</v>
      </c>
      <c r="D34" s="403">
        <v>122</v>
      </c>
      <c r="E34" s="404">
        <v>30</v>
      </c>
      <c r="F34" s="405">
        <v>155.66</v>
      </c>
    </row>
    <row r="35" spans="2:6">
      <c r="B35" s="176" t="s">
        <v>1613</v>
      </c>
      <c r="C35" s="402" t="s">
        <v>1597</v>
      </c>
      <c r="D35" s="403">
        <v>32</v>
      </c>
      <c r="E35" s="404">
        <v>8</v>
      </c>
      <c r="F35" s="405">
        <v>2059.9899999999998</v>
      </c>
    </row>
    <row r="36" spans="2:6">
      <c r="B36" s="176" t="s">
        <v>1625</v>
      </c>
      <c r="C36" s="402" t="s">
        <v>1597</v>
      </c>
      <c r="D36" s="403">
        <v>50</v>
      </c>
      <c r="E36" s="404">
        <v>8</v>
      </c>
      <c r="F36" s="405">
        <v>2059.9899999999998</v>
      </c>
    </row>
    <row r="37" spans="2:6">
      <c r="B37" s="176" t="s">
        <v>1637</v>
      </c>
      <c r="C37" s="402" t="s">
        <v>1597</v>
      </c>
      <c r="D37" s="403">
        <v>32</v>
      </c>
      <c r="E37" s="404">
        <v>8</v>
      </c>
      <c r="F37" s="405">
        <v>2059.9899999999998</v>
      </c>
    </row>
    <row r="38" spans="2:6">
      <c r="B38" s="176" t="s">
        <v>1649</v>
      </c>
      <c r="C38" s="402" t="s">
        <v>1597</v>
      </c>
      <c r="D38" s="403">
        <v>32</v>
      </c>
      <c r="E38" s="404">
        <v>8</v>
      </c>
      <c r="F38" s="405">
        <v>2059.9899999999998</v>
      </c>
    </row>
    <row r="39" spans="2:6">
      <c r="B39" s="176" t="s">
        <v>1622</v>
      </c>
      <c r="C39" s="402" t="s">
        <v>1606</v>
      </c>
      <c r="D39" s="403">
        <v>108</v>
      </c>
      <c r="E39" s="404">
        <v>28</v>
      </c>
      <c r="F39" s="405">
        <v>39.99</v>
      </c>
    </row>
    <row r="40" spans="2:6">
      <c r="B40" s="176" t="s">
        <v>1634</v>
      </c>
      <c r="C40" s="402" t="s">
        <v>1606</v>
      </c>
      <c r="D40" s="403">
        <v>68</v>
      </c>
      <c r="E40" s="404">
        <v>28</v>
      </c>
      <c r="F40" s="405">
        <v>39.99</v>
      </c>
    </row>
    <row r="41" spans="2:6">
      <c r="B41" s="176" t="s">
        <v>1646</v>
      </c>
      <c r="C41" s="402" t="s">
        <v>1606</v>
      </c>
      <c r="D41" s="403">
        <v>85</v>
      </c>
      <c r="E41" s="404">
        <v>28</v>
      </c>
      <c r="F41" s="405">
        <v>39.99</v>
      </c>
    </row>
    <row r="42" spans="2:6">
      <c r="B42" s="176" t="s">
        <v>1658</v>
      </c>
      <c r="C42" s="402" t="s">
        <v>1606</v>
      </c>
      <c r="D42" s="403">
        <v>36</v>
      </c>
      <c r="E42" s="404">
        <v>28</v>
      </c>
      <c r="F42" s="405">
        <v>39.99</v>
      </c>
    </row>
    <row r="43" spans="2:6">
      <c r="B43" s="142" t="s">
        <v>1611</v>
      </c>
      <c r="C43" s="402" t="s">
        <v>1595</v>
      </c>
      <c r="D43" s="403">
        <v>56</v>
      </c>
      <c r="E43" s="404">
        <v>12</v>
      </c>
      <c r="F43" s="405">
        <v>1299.99</v>
      </c>
    </row>
    <row r="44" spans="2:6">
      <c r="B44" s="142" t="s">
        <v>1623</v>
      </c>
      <c r="C44" s="402" t="s">
        <v>1595</v>
      </c>
      <c r="D44" s="403">
        <v>56</v>
      </c>
      <c r="E44" s="404">
        <v>12</v>
      </c>
      <c r="F44" s="405">
        <v>1299.99</v>
      </c>
    </row>
    <row r="45" spans="2:6">
      <c r="B45" s="142" t="s">
        <v>1635</v>
      </c>
      <c r="C45" s="402" t="s">
        <v>1595</v>
      </c>
      <c r="D45" s="403">
        <v>82</v>
      </c>
      <c r="E45" s="404">
        <v>12</v>
      </c>
      <c r="F45" s="405">
        <v>1299.99</v>
      </c>
    </row>
    <row r="46" spans="2:6">
      <c r="B46" s="142" t="s">
        <v>1647</v>
      </c>
      <c r="C46" s="402" t="s">
        <v>1595</v>
      </c>
      <c r="D46" s="403">
        <v>51</v>
      </c>
      <c r="E46" s="404">
        <v>12</v>
      </c>
      <c r="F46" s="405">
        <v>1299.99</v>
      </c>
    </row>
    <row r="47" spans="2:6">
      <c r="B47" s="176" t="s">
        <v>1617</v>
      </c>
      <c r="C47" s="402" t="s">
        <v>1601</v>
      </c>
      <c r="D47" s="403">
        <v>280</v>
      </c>
      <c r="E47" s="404">
        <v>80</v>
      </c>
      <c r="F47" s="405">
        <v>2.99</v>
      </c>
    </row>
    <row r="48" spans="2:6">
      <c r="B48" s="176" t="s">
        <v>1629</v>
      </c>
      <c r="C48" s="402" t="s">
        <v>1601</v>
      </c>
      <c r="D48" s="403">
        <v>100</v>
      </c>
      <c r="E48" s="404">
        <v>80</v>
      </c>
      <c r="F48" s="405">
        <v>2.99</v>
      </c>
    </row>
    <row r="49" spans="2:6">
      <c r="B49" s="176" t="s">
        <v>1641</v>
      </c>
      <c r="C49" s="402" t="s">
        <v>1601</v>
      </c>
      <c r="D49" s="403">
        <v>26</v>
      </c>
      <c r="E49" s="404">
        <v>80</v>
      </c>
      <c r="F49" s="405">
        <v>2.99</v>
      </c>
    </row>
    <row r="50" spans="2:6">
      <c r="B50" s="176" t="s">
        <v>1653</v>
      </c>
      <c r="C50" s="402" t="s">
        <v>1601</v>
      </c>
      <c r="D50" s="403">
        <v>36</v>
      </c>
      <c r="E50" s="404">
        <v>80</v>
      </c>
      <c r="F50" s="405">
        <v>2.99</v>
      </c>
    </row>
    <row r="51" spans="2:6">
      <c r="B51" s="176" t="s">
        <v>1615</v>
      </c>
      <c r="C51" s="407" t="s">
        <v>1599</v>
      </c>
      <c r="D51" s="403">
        <v>46</v>
      </c>
      <c r="E51" s="408">
        <v>16</v>
      </c>
      <c r="F51" s="405">
        <v>1743.99</v>
      </c>
    </row>
    <row r="52" spans="2:6">
      <c r="B52" s="176" t="s">
        <v>1627</v>
      </c>
      <c r="C52" s="407" t="s">
        <v>1599</v>
      </c>
      <c r="D52" s="403">
        <v>63</v>
      </c>
      <c r="E52" s="408">
        <v>16</v>
      </c>
      <c r="F52" s="405">
        <v>1743.99</v>
      </c>
    </row>
    <row r="53" spans="2:6">
      <c r="B53" s="176" t="s">
        <v>1639</v>
      </c>
      <c r="C53" s="407" t="s">
        <v>1599</v>
      </c>
      <c r="D53" s="403">
        <v>18</v>
      </c>
      <c r="E53" s="408">
        <v>16</v>
      </c>
      <c r="F53" s="405">
        <v>1743.99</v>
      </c>
    </row>
    <row r="54" spans="2:6">
      <c r="B54" s="176" t="s">
        <v>1651</v>
      </c>
      <c r="C54" s="407" t="s">
        <v>1599</v>
      </c>
      <c r="D54" s="403">
        <v>28</v>
      </c>
      <c r="E54" s="408">
        <v>16</v>
      </c>
      <c r="F54" s="405">
        <v>1743.99</v>
      </c>
    </row>
  </sheetData>
  <sortState ref="B7:F54">
    <sortCondition ref="C7:C54"/>
  </sortState>
  <mergeCells count="1">
    <mergeCell ref="B4:F4"/>
  </mergeCell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F21"/>
  <sheetViews>
    <sheetView showGridLines="0" workbookViewId="0">
      <selection activeCell="F4" sqref="F4"/>
    </sheetView>
  </sheetViews>
  <sheetFormatPr defaultRowHeight="15.75"/>
  <cols>
    <col min="1" max="1" width="9.140625" style="142"/>
    <col min="2" max="2" width="22.7109375" style="142" bestFit="1" customWidth="1"/>
    <col min="3" max="3" width="26.7109375" style="142" bestFit="1" customWidth="1"/>
    <col min="4" max="4" width="30.28515625" style="142" bestFit="1" customWidth="1"/>
    <col min="5" max="5" width="9.140625" style="142"/>
    <col min="6" max="6" width="35.42578125" style="142" customWidth="1"/>
    <col min="7" max="16384" width="9.140625" style="142"/>
  </cols>
  <sheetData>
    <row r="1" spans="1:6" ht="23.25">
      <c r="A1" s="33" t="s">
        <v>1730</v>
      </c>
      <c r="E1" s="638" t="s">
        <v>2056</v>
      </c>
    </row>
    <row r="5" spans="1:6" ht="16.5" thickBot="1">
      <c r="B5" s="376" t="s">
        <v>177</v>
      </c>
      <c r="C5" s="376" t="s">
        <v>182</v>
      </c>
      <c r="D5" s="376" t="s">
        <v>1687</v>
      </c>
      <c r="F5" s="400" t="s">
        <v>566</v>
      </c>
    </row>
    <row r="6" spans="1:6">
      <c r="B6" s="267" t="s">
        <v>727</v>
      </c>
      <c r="C6" s="267" t="s">
        <v>728</v>
      </c>
      <c r="D6" s="267" t="s">
        <v>729</v>
      </c>
      <c r="F6" s="175" t="str">
        <f>UPPER(D6)</f>
        <v>ST. SIMONS ISLAND, GA 31522</v>
      </c>
    </row>
    <row r="7" spans="1:6">
      <c r="B7" s="267" t="s">
        <v>731</v>
      </c>
      <c r="C7" s="267" t="s">
        <v>732</v>
      </c>
      <c r="D7" s="377" t="s">
        <v>1731</v>
      </c>
      <c r="F7" s="175" t="str">
        <f t="shared" ref="F7:F21" si="0">UPPER(D7)</f>
        <v>MILLEDGEVILLE, GA 66532</v>
      </c>
    </row>
    <row r="8" spans="1:6">
      <c r="B8" s="267" t="s">
        <v>736</v>
      </c>
      <c r="C8" s="267" t="s">
        <v>913</v>
      </c>
      <c r="D8" s="267" t="s">
        <v>914</v>
      </c>
      <c r="F8" s="175" t="str">
        <f t="shared" si="0"/>
        <v>SAINT SIMONS ISLAND, GA  31522</v>
      </c>
    </row>
    <row r="9" spans="1:6">
      <c r="B9" s="267" t="s">
        <v>737</v>
      </c>
      <c r="C9" s="267" t="s">
        <v>918</v>
      </c>
      <c r="D9" s="268" t="s">
        <v>919</v>
      </c>
      <c r="F9" s="175" t="str">
        <f t="shared" si="0"/>
        <v>NASHVILLE, TN 37216</v>
      </c>
    </row>
    <row r="10" spans="1:6">
      <c r="B10" s="267" t="s">
        <v>738</v>
      </c>
      <c r="C10" s="267" t="s">
        <v>921</v>
      </c>
      <c r="D10" s="267" t="s">
        <v>850</v>
      </c>
      <c r="F10" s="175" t="str">
        <f t="shared" si="0"/>
        <v>BRUNSWICK, GA  31525</v>
      </c>
    </row>
    <row r="11" spans="1:6">
      <c r="B11" s="267" t="s">
        <v>739</v>
      </c>
      <c r="C11" s="267" t="s">
        <v>924</v>
      </c>
      <c r="D11" s="267" t="s">
        <v>925</v>
      </c>
      <c r="F11" s="175" t="str">
        <f t="shared" si="0"/>
        <v>JACKSON, GA  30233</v>
      </c>
    </row>
    <row r="12" spans="1:6">
      <c r="B12" s="267" t="s">
        <v>740</v>
      </c>
      <c r="C12" s="267" t="s">
        <v>928</v>
      </c>
      <c r="D12" s="267" t="s">
        <v>754</v>
      </c>
      <c r="F12" s="175" t="str">
        <f t="shared" si="0"/>
        <v>BRUNSWICK, GA  31520</v>
      </c>
    </row>
    <row r="13" spans="1:6">
      <c r="B13" s="267" t="s">
        <v>741</v>
      </c>
      <c r="C13" s="267" t="s">
        <v>742</v>
      </c>
      <c r="D13" s="267" t="s">
        <v>743</v>
      </c>
      <c r="F13" s="175" t="str">
        <f t="shared" si="0"/>
        <v>DECATUR, GA 30034</v>
      </c>
    </row>
    <row r="14" spans="1:6">
      <c r="B14" s="267" t="s">
        <v>746</v>
      </c>
      <c r="C14" s="267" t="s">
        <v>747</v>
      </c>
      <c r="D14" s="268" t="s">
        <v>748</v>
      </c>
      <c r="F14" s="175" t="str">
        <f t="shared" si="0"/>
        <v>WINSTON-SALEM, NC 27127</v>
      </c>
    </row>
    <row r="15" spans="1:6">
      <c r="B15" s="267" t="s">
        <v>751</v>
      </c>
      <c r="C15" s="267" t="s">
        <v>1692</v>
      </c>
      <c r="D15" s="377" t="s">
        <v>1693</v>
      </c>
      <c r="F15" s="175" t="str">
        <f t="shared" si="0"/>
        <v>MANOR PLACE, TX 23443</v>
      </c>
    </row>
    <row r="16" spans="1:6">
      <c r="B16" s="267" t="s">
        <v>752</v>
      </c>
      <c r="C16" s="267" t="s">
        <v>753</v>
      </c>
      <c r="D16" s="267" t="s">
        <v>754</v>
      </c>
      <c r="F16" s="175" t="str">
        <f t="shared" si="0"/>
        <v>BRUNSWICK, GA  31520</v>
      </c>
    </row>
    <row r="17" spans="2:6">
      <c r="B17" s="267" t="s">
        <v>756</v>
      </c>
      <c r="C17" s="267" t="s">
        <v>1690</v>
      </c>
      <c r="D17" s="377" t="s">
        <v>1691</v>
      </c>
      <c r="F17" s="175" t="str">
        <f t="shared" si="0"/>
        <v>TEMPLETON, NB 54443</v>
      </c>
    </row>
    <row r="18" spans="2:6">
      <c r="B18" s="268" t="s">
        <v>757</v>
      </c>
      <c r="C18" s="267" t="s">
        <v>1689</v>
      </c>
      <c r="D18" s="267" t="s">
        <v>758</v>
      </c>
      <c r="F18" s="175" t="str">
        <f t="shared" si="0"/>
        <v>JACKSONVILLE, FL  32223</v>
      </c>
    </row>
    <row r="19" spans="2:6">
      <c r="B19" s="267" t="s">
        <v>760</v>
      </c>
      <c r="C19" s="267" t="s">
        <v>761</v>
      </c>
      <c r="D19" s="267" t="s">
        <v>754</v>
      </c>
      <c r="F19" s="175" t="str">
        <f t="shared" si="0"/>
        <v>BRUNSWICK, GA  31520</v>
      </c>
    </row>
    <row r="20" spans="2:6">
      <c r="B20" s="267" t="s">
        <v>763</v>
      </c>
      <c r="C20" s="267" t="s">
        <v>764</v>
      </c>
      <c r="D20" s="267" t="s">
        <v>765</v>
      </c>
      <c r="F20" s="175" t="str">
        <f t="shared" si="0"/>
        <v>HINESVILLE, GA 31313</v>
      </c>
    </row>
    <row r="21" spans="2:6">
      <c r="B21" s="267" t="s">
        <v>768</v>
      </c>
      <c r="C21" s="267" t="s">
        <v>769</v>
      </c>
      <c r="D21" s="267" t="s">
        <v>770</v>
      </c>
      <c r="F21" s="175" t="str">
        <f t="shared" si="0"/>
        <v>ST. SIMONS ISLAND,  GA  31522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H62"/>
  <sheetViews>
    <sheetView showGridLines="0" zoomScale="90" zoomScaleNormal="90" workbookViewId="0">
      <selection activeCell="F4" sqref="F4"/>
    </sheetView>
  </sheetViews>
  <sheetFormatPr defaultRowHeight="15"/>
  <cols>
    <col min="1" max="1" width="9.140625" style="515"/>
    <col min="2" max="2" width="33.85546875" style="515" customWidth="1"/>
    <col min="3" max="4" width="12.85546875" style="422" customWidth="1"/>
    <col min="5" max="5" width="20.28515625" style="515" customWidth="1"/>
    <col min="6" max="7" width="9.140625" style="515"/>
    <col min="8" max="8" width="9.140625" style="520"/>
    <col min="9" max="16384" width="9.140625" style="515"/>
  </cols>
  <sheetData>
    <row r="1" spans="2:8">
      <c r="E1" s="637" t="s">
        <v>2056</v>
      </c>
    </row>
    <row r="2" spans="2:8" ht="15" customHeight="1">
      <c r="B2" s="577" t="s">
        <v>574</v>
      </c>
      <c r="C2" s="578"/>
      <c r="D2" s="578"/>
      <c r="E2" s="579"/>
      <c r="F2" s="579"/>
      <c r="G2" s="580"/>
      <c r="H2" s="514"/>
    </row>
    <row r="3" spans="2:8" ht="15" customHeight="1">
      <c r="B3" s="581"/>
      <c r="C3" s="582" t="s">
        <v>571</v>
      </c>
      <c r="D3" s="582" t="s">
        <v>572</v>
      </c>
      <c r="E3" s="583"/>
      <c r="F3" s="583"/>
      <c r="G3" s="584"/>
      <c r="H3" s="514"/>
    </row>
    <row r="4" spans="2:8" ht="15" customHeight="1">
      <c r="B4" s="585" t="s">
        <v>570</v>
      </c>
      <c r="C4" s="586">
        <v>2300</v>
      </c>
      <c r="D4" s="586">
        <v>2492.4299999999998</v>
      </c>
      <c r="E4" s="583" t="str">
        <f>IF(D4&gt;C4,"Over Budget","")</f>
        <v>Over Budget</v>
      </c>
      <c r="F4" s="583"/>
      <c r="G4" s="584"/>
      <c r="H4" s="514"/>
    </row>
    <row r="5" spans="2:8" ht="15" customHeight="1">
      <c r="B5" s="587"/>
      <c r="C5" s="588"/>
      <c r="D5" s="588"/>
      <c r="E5" s="589"/>
      <c r="F5" s="589"/>
      <c r="G5" s="590"/>
      <c r="H5" s="514"/>
    </row>
    <row r="6" spans="2:8" ht="15" customHeight="1"/>
    <row r="7" spans="2:8" ht="15" customHeight="1">
      <c r="B7" s="591" t="s">
        <v>573</v>
      </c>
      <c r="C7" s="592"/>
      <c r="D7" s="592"/>
      <c r="E7" s="593"/>
      <c r="F7" s="593"/>
      <c r="G7" s="594"/>
      <c r="H7" s="514"/>
    </row>
    <row r="8" spans="2:8" ht="15" customHeight="1">
      <c r="B8" s="595"/>
      <c r="C8" s="596" t="s">
        <v>571</v>
      </c>
      <c r="D8" s="596" t="s">
        <v>572</v>
      </c>
      <c r="E8" s="597"/>
      <c r="F8" s="597"/>
      <c r="G8" s="598"/>
      <c r="H8" s="514"/>
    </row>
    <row r="9" spans="2:8" ht="15" customHeight="1">
      <c r="B9" s="599" t="s">
        <v>570</v>
      </c>
      <c r="C9" s="600">
        <v>2300</v>
      </c>
      <c r="D9" s="600">
        <v>2492.4299999999998</v>
      </c>
      <c r="E9" s="597" t="str">
        <f>IF(D9&gt;C9,"Over Budget by $"&amp;D9-C9,"")</f>
        <v>Over Budget by $192.43</v>
      </c>
      <c r="F9" s="597"/>
      <c r="G9" s="598"/>
      <c r="H9" s="514"/>
    </row>
    <row r="10" spans="2:8" ht="15" customHeight="1">
      <c r="B10" s="601"/>
      <c r="C10" s="602"/>
      <c r="D10" s="602"/>
      <c r="E10" s="603"/>
      <c r="F10" s="603"/>
      <c r="G10" s="604"/>
      <c r="H10" s="514"/>
    </row>
    <row r="11" spans="2:8" ht="15" customHeight="1"/>
    <row r="12" spans="2:8" ht="15" customHeight="1">
      <c r="B12" s="605" t="s">
        <v>593</v>
      </c>
      <c r="C12" s="606"/>
      <c r="D12" s="606"/>
      <c r="E12" s="607"/>
      <c r="F12" s="607"/>
      <c r="G12" s="608"/>
      <c r="H12" s="514"/>
    </row>
    <row r="13" spans="2:8" ht="15" customHeight="1">
      <c r="B13" s="609"/>
      <c r="C13" s="610" t="s">
        <v>571</v>
      </c>
      <c r="D13" s="610" t="s">
        <v>572</v>
      </c>
      <c r="E13" s="611"/>
      <c r="F13" s="611"/>
      <c r="G13" s="612"/>
      <c r="H13" s="514"/>
    </row>
    <row r="14" spans="2:8" ht="15" customHeight="1">
      <c r="B14" s="613" t="s">
        <v>575</v>
      </c>
      <c r="C14" s="614">
        <v>2139.5500000000002</v>
      </c>
      <c r="D14" s="615">
        <v>2674.44</v>
      </c>
      <c r="E14" s="611" t="str">
        <f t="shared" ref="E14:E31" si="0">IF(D14&gt;C14,"Over Budget by $"&amp;D14-C14,"")</f>
        <v>Over Budget by $534.89</v>
      </c>
      <c r="F14" s="611"/>
      <c r="G14" s="612"/>
      <c r="H14" s="514"/>
    </row>
    <row r="15" spans="2:8" ht="15" customHeight="1">
      <c r="B15" s="613" t="s">
        <v>576</v>
      </c>
      <c r="C15" s="614">
        <v>37.340000000000003</v>
      </c>
      <c r="D15" s="615">
        <v>48.54</v>
      </c>
      <c r="E15" s="611" t="str">
        <f t="shared" si="0"/>
        <v>Over Budget by $11.2</v>
      </c>
      <c r="F15" s="611"/>
      <c r="G15" s="612"/>
      <c r="H15" s="514"/>
    </row>
    <row r="16" spans="2:8">
      <c r="B16" s="613" t="s">
        <v>577</v>
      </c>
      <c r="C16" s="614">
        <v>750</v>
      </c>
      <c r="D16" s="615">
        <v>500</v>
      </c>
      <c r="E16" s="611" t="str">
        <f t="shared" si="0"/>
        <v/>
      </c>
      <c r="F16" s="611"/>
      <c r="G16" s="612"/>
      <c r="H16" s="514"/>
    </row>
    <row r="17" spans="2:8">
      <c r="B17" s="613" t="s">
        <v>578</v>
      </c>
      <c r="C17" s="614">
        <v>26654.799999999999</v>
      </c>
      <c r="D17" s="615">
        <v>34651.24</v>
      </c>
      <c r="E17" s="611" t="str">
        <f t="shared" si="0"/>
        <v>Over Budget by $7996.44</v>
      </c>
      <c r="F17" s="611"/>
      <c r="G17" s="612"/>
      <c r="H17" s="514"/>
    </row>
    <row r="18" spans="2:8">
      <c r="B18" s="613" t="s">
        <v>579</v>
      </c>
      <c r="C18" s="614">
        <v>1282.53</v>
      </c>
      <c r="D18" s="615">
        <v>1603.16</v>
      </c>
      <c r="E18" s="611" t="str">
        <f t="shared" si="0"/>
        <v>Over Budget by $320.63</v>
      </c>
      <c r="F18" s="611"/>
      <c r="G18" s="612"/>
      <c r="H18" s="514"/>
    </row>
    <row r="19" spans="2:8">
      <c r="B19" s="613" t="s">
        <v>580</v>
      </c>
      <c r="C19" s="614">
        <v>6051.13</v>
      </c>
      <c r="D19" s="615">
        <v>7866.47</v>
      </c>
      <c r="E19" s="611" t="str">
        <f t="shared" si="0"/>
        <v>Over Budget by $1815.34</v>
      </c>
      <c r="F19" s="611"/>
      <c r="G19" s="612"/>
      <c r="H19" s="514"/>
    </row>
    <row r="20" spans="2:8">
      <c r="B20" s="613" t="s">
        <v>581</v>
      </c>
      <c r="C20" s="614">
        <v>1235.8699999999999</v>
      </c>
      <c r="D20" s="615">
        <v>1544.84</v>
      </c>
      <c r="E20" s="611" t="str">
        <f t="shared" si="0"/>
        <v>Over Budget by $308.97</v>
      </c>
      <c r="F20" s="611"/>
      <c r="G20" s="612"/>
      <c r="H20" s="514"/>
    </row>
    <row r="21" spans="2:8">
      <c r="B21" s="613" t="s">
        <v>582</v>
      </c>
      <c r="C21" s="614">
        <v>124.5</v>
      </c>
      <c r="D21" s="615">
        <v>85.03</v>
      </c>
      <c r="E21" s="611" t="str">
        <f t="shared" si="0"/>
        <v/>
      </c>
      <c r="F21" s="611"/>
      <c r="G21" s="612"/>
      <c r="H21" s="514"/>
    </row>
    <row r="22" spans="2:8">
      <c r="B22" s="613" t="s">
        <v>583</v>
      </c>
      <c r="C22" s="614">
        <v>3950.05</v>
      </c>
      <c r="D22" s="615">
        <v>4937.5600000000004</v>
      </c>
      <c r="E22" s="611" t="str">
        <f t="shared" si="0"/>
        <v>Over Budget by $987.51</v>
      </c>
      <c r="F22" s="611"/>
      <c r="G22" s="612"/>
      <c r="H22" s="514"/>
    </row>
    <row r="23" spans="2:8">
      <c r="B23" s="613" t="s">
        <v>584</v>
      </c>
      <c r="C23" s="614">
        <v>11697</v>
      </c>
      <c r="D23" s="615">
        <v>15206.1</v>
      </c>
      <c r="E23" s="611" t="str">
        <f t="shared" si="0"/>
        <v>Over Budget by $3509.1</v>
      </c>
      <c r="F23" s="611"/>
      <c r="G23" s="612"/>
      <c r="H23" s="514"/>
    </row>
    <row r="24" spans="2:8">
      <c r="B24" s="613" t="s">
        <v>585</v>
      </c>
      <c r="C24" s="614">
        <v>1876.7</v>
      </c>
      <c r="D24" s="615">
        <v>1481.09</v>
      </c>
      <c r="E24" s="611" t="str">
        <f t="shared" si="0"/>
        <v/>
      </c>
      <c r="F24" s="611"/>
      <c r="G24" s="612"/>
      <c r="H24" s="514"/>
    </row>
    <row r="25" spans="2:8">
      <c r="B25" s="613" t="s">
        <v>586</v>
      </c>
      <c r="C25" s="614">
        <v>90</v>
      </c>
      <c r="D25" s="615">
        <v>117</v>
      </c>
      <c r="E25" s="611" t="str">
        <f t="shared" si="0"/>
        <v>Over Budget by $27</v>
      </c>
      <c r="F25" s="611"/>
      <c r="G25" s="612"/>
      <c r="H25" s="514"/>
    </row>
    <row r="26" spans="2:8">
      <c r="B26" s="613" t="s">
        <v>587</v>
      </c>
      <c r="C26" s="614">
        <v>21010.25</v>
      </c>
      <c r="D26" s="615">
        <v>26262.81</v>
      </c>
      <c r="E26" s="611" t="str">
        <f t="shared" si="0"/>
        <v>Over Budget by $5252.56</v>
      </c>
      <c r="F26" s="611"/>
      <c r="G26" s="612"/>
      <c r="H26" s="514"/>
    </row>
    <row r="27" spans="2:8">
      <c r="B27" s="613" t="s">
        <v>588</v>
      </c>
      <c r="C27" s="614">
        <v>6861.83</v>
      </c>
      <c r="D27" s="615">
        <v>8920.3799999999992</v>
      </c>
      <c r="E27" s="611" t="str">
        <f t="shared" si="0"/>
        <v>Over Budget by $2058.55</v>
      </c>
      <c r="F27" s="611"/>
      <c r="G27" s="612"/>
      <c r="H27" s="514"/>
    </row>
    <row r="28" spans="2:8">
      <c r="B28" s="613" t="s">
        <v>589</v>
      </c>
      <c r="C28" s="614">
        <v>5789.74</v>
      </c>
      <c r="D28" s="615">
        <v>7237.18</v>
      </c>
      <c r="E28" s="611" t="str">
        <f t="shared" si="0"/>
        <v>Over Budget by $1447.44</v>
      </c>
      <c r="F28" s="611"/>
      <c r="G28" s="612"/>
      <c r="H28" s="514"/>
    </row>
    <row r="29" spans="2:8">
      <c r="B29" s="613" t="s">
        <v>590</v>
      </c>
      <c r="C29" s="614">
        <v>4563.21</v>
      </c>
      <c r="D29" s="615">
        <v>508.95</v>
      </c>
      <c r="E29" s="611" t="str">
        <f t="shared" si="0"/>
        <v/>
      </c>
      <c r="F29" s="611"/>
      <c r="G29" s="612"/>
      <c r="H29" s="514"/>
    </row>
    <row r="30" spans="2:8">
      <c r="B30" s="613" t="s">
        <v>591</v>
      </c>
      <c r="C30" s="614">
        <v>172000</v>
      </c>
      <c r="D30" s="615">
        <v>215000</v>
      </c>
      <c r="E30" s="611" t="str">
        <f t="shared" si="0"/>
        <v>Over Budget by $43000</v>
      </c>
      <c r="F30" s="611"/>
      <c r="G30" s="612"/>
      <c r="H30" s="514"/>
    </row>
    <row r="31" spans="2:8">
      <c r="B31" s="616" t="s">
        <v>592</v>
      </c>
      <c r="C31" s="617">
        <v>564.66999999999996</v>
      </c>
      <c r="D31" s="618">
        <v>655.43</v>
      </c>
      <c r="E31" s="619" t="str">
        <f t="shared" si="0"/>
        <v>Over Budget by $90.76</v>
      </c>
      <c r="F31" s="619"/>
      <c r="G31" s="620"/>
      <c r="H31" s="514"/>
    </row>
    <row r="40" spans="5:5">
      <c r="E40" s="3"/>
    </row>
    <row r="51" spans="2:8">
      <c r="B51" s="19"/>
    </row>
    <row r="52" spans="2:8">
      <c r="B52" s="19"/>
    </row>
    <row r="53" spans="2:8">
      <c r="B53" s="19"/>
    </row>
    <row r="54" spans="2:8" s="517" customFormat="1" ht="15.75" thickBot="1">
      <c r="B54" s="621" t="s">
        <v>594</v>
      </c>
      <c r="C54" s="622" t="s">
        <v>329</v>
      </c>
      <c r="D54" s="623" t="s">
        <v>596</v>
      </c>
      <c r="H54" s="537"/>
    </row>
    <row r="55" spans="2:8">
      <c r="B55" s="624" t="s">
        <v>600</v>
      </c>
      <c r="C55" s="625">
        <v>45</v>
      </c>
      <c r="D55" s="626" t="str">
        <f>IF(C55&gt;89,"A",IF(C55&gt;79,"B", IF(C55&gt;69,"C",IF(C55&gt;59,"D","F"))))</f>
        <v>F</v>
      </c>
    </row>
    <row r="56" spans="2:8">
      <c r="B56" s="624" t="s">
        <v>595</v>
      </c>
      <c r="C56" s="625">
        <v>90</v>
      </c>
      <c r="D56" s="626" t="str">
        <f t="shared" ref="D56:D61" si="1">IF(C56&gt;89,"A",IF(C56&gt;79,"B", IF(C56&gt;69,"C",IF(C56&gt;59,"D","F"))))</f>
        <v>A</v>
      </c>
    </row>
    <row r="57" spans="2:8" ht="15.75" customHeight="1">
      <c r="B57" s="624" t="s">
        <v>599</v>
      </c>
      <c r="C57" s="625">
        <v>78</v>
      </c>
      <c r="D57" s="626" t="str">
        <f t="shared" si="1"/>
        <v>C</v>
      </c>
    </row>
    <row r="58" spans="2:8" ht="15.75" customHeight="1">
      <c r="B58" s="624" t="s">
        <v>597</v>
      </c>
      <c r="C58" s="627">
        <v>92</v>
      </c>
      <c r="D58" s="626" t="str">
        <f t="shared" si="1"/>
        <v>A</v>
      </c>
    </row>
    <row r="59" spans="2:8" ht="15.75" customHeight="1">
      <c r="B59" s="624" t="s">
        <v>598</v>
      </c>
      <c r="C59" s="625">
        <v>95</v>
      </c>
      <c r="D59" s="626" t="str">
        <f t="shared" si="1"/>
        <v>A</v>
      </c>
    </row>
    <row r="60" spans="2:8" ht="15.75" customHeight="1">
      <c r="B60" s="628" t="s">
        <v>601</v>
      </c>
      <c r="C60" s="625">
        <v>87</v>
      </c>
      <c r="D60" s="626" t="str">
        <f t="shared" si="1"/>
        <v>B</v>
      </c>
    </row>
    <row r="61" spans="2:8" ht="15.75" customHeight="1">
      <c r="B61" s="629" t="s">
        <v>602</v>
      </c>
      <c r="C61" s="630">
        <v>62</v>
      </c>
      <c r="D61" s="631" t="str">
        <f t="shared" si="1"/>
        <v>D</v>
      </c>
    </row>
    <row r="62" spans="2:8" ht="15.75" customHeight="1"/>
  </sheetData>
  <sheetProtection password="E09F" sheet="1" formatCells="0" formatColumns="0" formatRows="0" insertColumns="0" insertRows="0" insertHyperlinks="0" deleteColumns="0" deleteRows="0" sort="0" autoFilter="0" pivotTables="0"/>
  <autoFilter ref="B14:B31"/>
  <conditionalFormatting sqref="C14:D31 B15:B31">
    <cfRule type="expression" dxfId="13" priority="2" stopIfTrue="1">
      <formula>"istext(b3:i34)"</formula>
    </cfRule>
  </conditionalFormatting>
  <conditionalFormatting sqref="B14">
    <cfRule type="expression" dxfId="12" priority="1" stopIfTrue="1">
      <formula>"istext(b3)"</formula>
    </cfRule>
  </conditionalFormatting>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dimension ref="A1:H108"/>
  <sheetViews>
    <sheetView showGridLines="0" workbookViewId="0">
      <selection activeCell="F4" sqref="F4"/>
    </sheetView>
  </sheetViews>
  <sheetFormatPr defaultRowHeight="15.75"/>
  <cols>
    <col min="1" max="1" width="22.28515625" style="142" customWidth="1"/>
    <col min="2" max="2" width="5" style="142" bestFit="1" customWidth="1"/>
    <col min="3" max="3" width="3.7109375" style="142" bestFit="1" customWidth="1"/>
    <col min="4" max="4" width="5" style="142" bestFit="1" customWidth="1"/>
    <col min="5" max="5" width="9.42578125" style="142" bestFit="1" customWidth="1"/>
    <col min="6" max="6" width="9.7109375" style="142" customWidth="1"/>
    <col min="7" max="7" width="9.140625" style="3"/>
    <col min="8" max="8" width="43.140625" style="142" bestFit="1" customWidth="1"/>
    <col min="9" max="16384" width="9.140625" style="142"/>
  </cols>
  <sheetData>
    <row r="1" spans="1:8" ht="23.25">
      <c r="A1" s="33" t="s">
        <v>1694</v>
      </c>
      <c r="E1" s="638" t="s">
        <v>2056</v>
      </c>
    </row>
    <row r="4" spans="1:8" s="394" customFormat="1">
      <c r="A4" s="392" t="s">
        <v>1402</v>
      </c>
      <c r="B4" s="393"/>
      <c r="C4" s="393"/>
      <c r="D4" s="393"/>
      <c r="E4" s="393"/>
      <c r="F4" s="393"/>
    </row>
    <row r="5" spans="1:8" s="394" customFormat="1" ht="16.5" thickBot="1">
      <c r="A5" s="395" t="s">
        <v>177</v>
      </c>
      <c r="B5" s="396" t="s">
        <v>1084</v>
      </c>
      <c r="C5" s="396" t="s">
        <v>1085</v>
      </c>
      <c r="D5" s="396" t="s">
        <v>1086</v>
      </c>
      <c r="E5" s="396" t="s">
        <v>1087</v>
      </c>
      <c r="F5" s="396" t="s">
        <v>260</v>
      </c>
      <c r="G5" s="395" t="s">
        <v>568</v>
      </c>
      <c r="H5" s="395" t="s">
        <v>1088</v>
      </c>
    </row>
    <row r="6" spans="1:8" s="394" customFormat="1">
      <c r="A6" s="394" t="s">
        <v>1089</v>
      </c>
      <c r="B6" s="393" t="s">
        <v>1090</v>
      </c>
      <c r="C6" s="393" t="s">
        <v>1091</v>
      </c>
      <c r="D6" s="393" t="s">
        <v>1092</v>
      </c>
      <c r="E6" s="393" t="s">
        <v>1093</v>
      </c>
      <c r="F6" s="393" t="str">
        <f>RIGHT(E6,3)</f>
        <v>268</v>
      </c>
      <c r="G6" s="393">
        <f>VALUE(F6)</f>
        <v>268</v>
      </c>
      <c r="H6" s="394" t="s">
        <v>1094</v>
      </c>
    </row>
    <row r="7" spans="1:8" s="394" customFormat="1">
      <c r="A7" s="394" t="s">
        <v>1095</v>
      </c>
      <c r="B7" s="393" t="s">
        <v>1096</v>
      </c>
      <c r="C7" s="393" t="s">
        <v>1097</v>
      </c>
      <c r="D7" s="393" t="s">
        <v>1098</v>
      </c>
      <c r="E7" s="393" t="s">
        <v>1099</v>
      </c>
      <c r="F7" s="393" t="str">
        <f t="shared" ref="F7:F70" si="0">RIGHT(E7,3)</f>
        <v>169</v>
      </c>
      <c r="G7" s="393">
        <f t="shared" ref="G7:G70" si="1">VALUE(F7)</f>
        <v>169</v>
      </c>
      <c r="H7" s="394" t="s">
        <v>1100</v>
      </c>
    </row>
    <row r="8" spans="1:8" s="394" customFormat="1">
      <c r="A8" s="394" t="s">
        <v>1101</v>
      </c>
      <c r="B8" s="393" t="s">
        <v>1096</v>
      </c>
      <c r="C8" s="393" t="s">
        <v>1102</v>
      </c>
      <c r="D8" s="393" t="s">
        <v>1103</v>
      </c>
      <c r="E8" s="393" t="s">
        <v>1104</v>
      </c>
      <c r="F8" s="393" t="str">
        <f t="shared" si="0"/>
        <v>180</v>
      </c>
      <c r="G8" s="393">
        <f t="shared" si="1"/>
        <v>180</v>
      </c>
      <c r="H8" s="394" t="s">
        <v>1105</v>
      </c>
    </row>
    <row r="9" spans="1:8" s="394" customFormat="1">
      <c r="A9" s="394" t="s">
        <v>1106</v>
      </c>
      <c r="B9" s="393" t="s">
        <v>1107</v>
      </c>
      <c r="C9" s="393" t="s">
        <v>1108</v>
      </c>
      <c r="D9" s="393" t="s">
        <v>1109</v>
      </c>
      <c r="E9" s="393" t="s">
        <v>1110</v>
      </c>
      <c r="F9" s="393" t="str">
        <f t="shared" si="0"/>
        <v>197</v>
      </c>
      <c r="G9" s="393">
        <f t="shared" si="1"/>
        <v>197</v>
      </c>
      <c r="H9" s="394" t="s">
        <v>1111</v>
      </c>
    </row>
    <row r="10" spans="1:8" s="394" customFormat="1">
      <c r="A10" s="394" t="s">
        <v>1112</v>
      </c>
      <c r="B10" s="393" t="s">
        <v>1113</v>
      </c>
      <c r="C10" s="393" t="s">
        <v>1102</v>
      </c>
      <c r="D10" s="393" t="s">
        <v>1103</v>
      </c>
      <c r="E10" s="393" t="s">
        <v>1114</v>
      </c>
      <c r="F10" s="393" t="str">
        <f t="shared" si="0"/>
        <v>211</v>
      </c>
      <c r="G10" s="393">
        <f t="shared" si="1"/>
        <v>211</v>
      </c>
      <c r="H10" s="394" t="s">
        <v>1115</v>
      </c>
    </row>
    <row r="11" spans="1:8" s="394" customFormat="1">
      <c r="A11" s="394" t="s">
        <v>1116</v>
      </c>
      <c r="B11" s="393" t="s">
        <v>1117</v>
      </c>
      <c r="C11" s="393" t="s">
        <v>1091</v>
      </c>
      <c r="D11" s="393" t="s">
        <v>1092</v>
      </c>
      <c r="E11" s="393" t="s">
        <v>1118</v>
      </c>
      <c r="F11" s="393" t="str">
        <f t="shared" si="0"/>
        <v>239</v>
      </c>
      <c r="G11" s="393">
        <f t="shared" si="1"/>
        <v>239</v>
      </c>
      <c r="H11" s="394" t="s">
        <v>1119</v>
      </c>
    </row>
    <row r="12" spans="1:8" s="394" customFormat="1">
      <c r="A12" s="394" t="s">
        <v>1120</v>
      </c>
      <c r="B12" s="393" t="s">
        <v>1117</v>
      </c>
      <c r="C12" s="393" t="s">
        <v>1102</v>
      </c>
      <c r="D12" s="393" t="s">
        <v>1103</v>
      </c>
      <c r="E12" s="393" t="s">
        <v>1121</v>
      </c>
      <c r="F12" s="393" t="str">
        <f t="shared" si="0"/>
        <v>192</v>
      </c>
      <c r="G12" s="393">
        <f t="shared" si="1"/>
        <v>192</v>
      </c>
      <c r="H12" s="394" t="s">
        <v>1122</v>
      </c>
    </row>
    <row r="13" spans="1:8" s="394" customFormat="1">
      <c r="A13" s="394" t="s">
        <v>1123</v>
      </c>
      <c r="B13" s="393" t="s">
        <v>1124</v>
      </c>
      <c r="C13" s="393" t="s">
        <v>1097</v>
      </c>
      <c r="D13" s="393" t="s">
        <v>1098</v>
      </c>
      <c r="E13" s="393" t="s">
        <v>1125</v>
      </c>
      <c r="F13" s="393" t="str">
        <f t="shared" si="0"/>
        <v>232</v>
      </c>
      <c r="G13" s="393">
        <f t="shared" si="1"/>
        <v>232</v>
      </c>
      <c r="H13" s="394" t="s">
        <v>1126</v>
      </c>
    </row>
    <row r="14" spans="1:8" s="394" customFormat="1">
      <c r="A14" s="394" t="s">
        <v>1127</v>
      </c>
      <c r="B14" s="393" t="s">
        <v>1128</v>
      </c>
      <c r="C14" s="393" t="s">
        <v>1102</v>
      </c>
      <c r="D14" s="393" t="s">
        <v>1103</v>
      </c>
      <c r="E14" s="393" t="s">
        <v>1129</v>
      </c>
      <c r="F14" s="393" t="str">
        <f t="shared" si="0"/>
        <v>205</v>
      </c>
      <c r="G14" s="393">
        <f t="shared" si="1"/>
        <v>205</v>
      </c>
      <c r="H14" s="394" t="s">
        <v>1130</v>
      </c>
    </row>
    <row r="15" spans="1:8" s="394" customFormat="1">
      <c r="A15" s="394" t="s">
        <v>1131</v>
      </c>
      <c r="B15" s="393" t="s">
        <v>1107</v>
      </c>
      <c r="C15" s="393" t="s">
        <v>1108</v>
      </c>
      <c r="D15" s="393" t="s">
        <v>1109</v>
      </c>
      <c r="E15" s="393" t="s">
        <v>1132</v>
      </c>
      <c r="F15" s="393" t="str">
        <f t="shared" si="0"/>
        <v>215</v>
      </c>
      <c r="G15" s="393">
        <f t="shared" si="1"/>
        <v>215</v>
      </c>
      <c r="H15" s="394" t="s">
        <v>1100</v>
      </c>
    </row>
    <row r="16" spans="1:8" s="394" customFormat="1">
      <c r="A16" s="394" t="s">
        <v>1133</v>
      </c>
      <c r="B16" s="393" t="s">
        <v>1096</v>
      </c>
      <c r="C16" s="393" t="s">
        <v>1091</v>
      </c>
      <c r="D16" s="393" t="s">
        <v>1092</v>
      </c>
      <c r="E16" s="393" t="s">
        <v>1134</v>
      </c>
      <c r="F16" s="393" t="str">
        <f t="shared" si="0"/>
        <v>185</v>
      </c>
      <c r="G16" s="393">
        <f t="shared" si="1"/>
        <v>185</v>
      </c>
      <c r="H16" s="394" t="s">
        <v>1135</v>
      </c>
    </row>
    <row r="17" spans="1:8" s="394" customFormat="1">
      <c r="A17" s="394" t="s">
        <v>1136</v>
      </c>
      <c r="B17" s="393" t="s">
        <v>1117</v>
      </c>
      <c r="C17" s="393" t="s">
        <v>1091</v>
      </c>
      <c r="D17" s="393" t="s">
        <v>1092</v>
      </c>
      <c r="E17" s="393" t="s">
        <v>1137</v>
      </c>
      <c r="F17" s="393" t="str">
        <f t="shared" si="0"/>
        <v>207</v>
      </c>
      <c r="G17" s="393">
        <f t="shared" si="1"/>
        <v>207</v>
      </c>
      <c r="H17" s="394" t="s">
        <v>1126</v>
      </c>
    </row>
    <row r="18" spans="1:8" s="394" customFormat="1">
      <c r="A18" s="394" t="s">
        <v>1138</v>
      </c>
      <c r="B18" s="393" t="s">
        <v>1128</v>
      </c>
      <c r="C18" s="393" t="s">
        <v>1097</v>
      </c>
      <c r="D18" s="393" t="s">
        <v>1098</v>
      </c>
      <c r="E18" s="393" t="s">
        <v>1139</v>
      </c>
      <c r="F18" s="393" t="str">
        <f t="shared" si="0"/>
        <v>182</v>
      </c>
      <c r="G18" s="393">
        <f t="shared" si="1"/>
        <v>182</v>
      </c>
      <c r="H18" s="394" t="s">
        <v>1140</v>
      </c>
    </row>
    <row r="19" spans="1:8" s="394" customFormat="1">
      <c r="A19" s="394" t="s">
        <v>1141</v>
      </c>
      <c r="B19" s="393" t="s">
        <v>1142</v>
      </c>
      <c r="C19" s="393" t="s">
        <v>1102</v>
      </c>
      <c r="D19" s="393" t="s">
        <v>1103</v>
      </c>
      <c r="E19" s="393" t="s">
        <v>1143</v>
      </c>
      <c r="F19" s="393" t="str">
        <f t="shared" si="0"/>
        <v>201</v>
      </c>
      <c r="G19" s="393">
        <f t="shared" si="1"/>
        <v>201</v>
      </c>
      <c r="H19" s="394" t="s">
        <v>1144</v>
      </c>
    </row>
    <row r="20" spans="1:8" s="394" customFormat="1">
      <c r="A20" s="394" t="s">
        <v>1145</v>
      </c>
      <c r="B20" s="393" t="s">
        <v>1128</v>
      </c>
      <c r="C20" s="393" t="s">
        <v>1097</v>
      </c>
      <c r="D20" s="393" t="s">
        <v>1098</v>
      </c>
      <c r="E20" s="393" t="s">
        <v>1146</v>
      </c>
      <c r="F20" s="393" t="str">
        <f t="shared" si="0"/>
        <v>176</v>
      </c>
      <c r="G20" s="393">
        <f t="shared" si="1"/>
        <v>176</v>
      </c>
      <c r="H20" s="394" t="s">
        <v>1147</v>
      </c>
    </row>
    <row r="21" spans="1:8" s="394" customFormat="1">
      <c r="A21" s="394" t="s">
        <v>1148</v>
      </c>
      <c r="B21" s="393" t="s">
        <v>1128</v>
      </c>
      <c r="C21" s="393" t="s">
        <v>1091</v>
      </c>
      <c r="D21" s="393" t="s">
        <v>1149</v>
      </c>
      <c r="E21" s="393" t="s">
        <v>1150</v>
      </c>
      <c r="F21" s="393" t="str">
        <f t="shared" si="0"/>
        <v>212</v>
      </c>
      <c r="G21" s="393">
        <f t="shared" si="1"/>
        <v>212</v>
      </c>
      <c r="H21" s="394" t="s">
        <v>1151</v>
      </c>
    </row>
    <row r="22" spans="1:8" s="394" customFormat="1">
      <c r="A22" s="394" t="s">
        <v>1152</v>
      </c>
      <c r="B22" s="393" t="s">
        <v>1128</v>
      </c>
      <c r="C22" s="393" t="s">
        <v>1108</v>
      </c>
      <c r="D22" s="393" t="s">
        <v>1153</v>
      </c>
      <c r="E22" s="393" t="s">
        <v>1154</v>
      </c>
      <c r="F22" s="393" t="str">
        <f t="shared" si="0"/>
        <v>206</v>
      </c>
      <c r="G22" s="393">
        <f t="shared" si="1"/>
        <v>206</v>
      </c>
      <c r="H22" s="394" t="s">
        <v>1155</v>
      </c>
    </row>
    <row r="23" spans="1:8" s="394" customFormat="1">
      <c r="A23" s="394" t="s">
        <v>1156</v>
      </c>
      <c r="B23" s="393" t="s">
        <v>1107</v>
      </c>
      <c r="C23" s="393" t="s">
        <v>1108</v>
      </c>
      <c r="D23" s="393" t="s">
        <v>1098</v>
      </c>
      <c r="E23" s="393" t="s">
        <v>1132</v>
      </c>
      <c r="F23" s="393" t="str">
        <f t="shared" si="0"/>
        <v>215</v>
      </c>
      <c r="G23" s="393">
        <f t="shared" si="1"/>
        <v>215</v>
      </c>
      <c r="H23" s="394" t="s">
        <v>1157</v>
      </c>
    </row>
    <row r="24" spans="1:8" s="394" customFormat="1">
      <c r="A24" s="394" t="s">
        <v>1158</v>
      </c>
      <c r="B24" s="393" t="s">
        <v>1128</v>
      </c>
      <c r="C24" s="393" t="s">
        <v>1097</v>
      </c>
      <c r="D24" s="393" t="s">
        <v>1098</v>
      </c>
      <c r="E24" s="393" t="s">
        <v>1159</v>
      </c>
      <c r="F24" s="393" t="str">
        <f t="shared" si="0"/>
        <v>173</v>
      </c>
      <c r="G24" s="393">
        <f t="shared" si="1"/>
        <v>173</v>
      </c>
      <c r="H24" s="394" t="s">
        <v>1160</v>
      </c>
    </row>
    <row r="25" spans="1:8" s="394" customFormat="1">
      <c r="A25" s="394" t="s">
        <v>1161</v>
      </c>
      <c r="B25" s="393" t="s">
        <v>1107</v>
      </c>
      <c r="C25" s="393" t="s">
        <v>1097</v>
      </c>
      <c r="D25" s="393" t="s">
        <v>1098</v>
      </c>
      <c r="E25" s="393" t="s">
        <v>1162</v>
      </c>
      <c r="F25" s="393" t="str">
        <f t="shared" si="0"/>
        <v>210</v>
      </c>
      <c r="G25" s="393">
        <f t="shared" si="1"/>
        <v>210</v>
      </c>
      <c r="H25" s="394" t="s">
        <v>1163</v>
      </c>
    </row>
    <row r="26" spans="1:8" s="394" customFormat="1">
      <c r="A26" s="394" t="s">
        <v>1164</v>
      </c>
      <c r="B26" s="393" t="s">
        <v>1096</v>
      </c>
      <c r="C26" s="393" t="s">
        <v>1097</v>
      </c>
      <c r="D26" s="393" t="s">
        <v>1098</v>
      </c>
      <c r="E26" s="393" t="s">
        <v>1165</v>
      </c>
      <c r="F26" s="393" t="str">
        <f t="shared" si="0"/>
        <v>210</v>
      </c>
      <c r="G26" s="393">
        <f t="shared" si="1"/>
        <v>210</v>
      </c>
      <c r="H26" s="394" t="s">
        <v>1166</v>
      </c>
    </row>
    <row r="27" spans="1:8" s="394" customFormat="1">
      <c r="A27" s="394" t="s">
        <v>1167</v>
      </c>
      <c r="B27" s="393" t="s">
        <v>1168</v>
      </c>
      <c r="C27" s="393" t="s">
        <v>1102</v>
      </c>
      <c r="D27" s="393" t="s">
        <v>1103</v>
      </c>
      <c r="E27" s="393" t="s">
        <v>1169</v>
      </c>
      <c r="F27" s="393" t="str">
        <f t="shared" si="0"/>
        <v>218</v>
      </c>
      <c r="G27" s="393">
        <f t="shared" si="1"/>
        <v>218</v>
      </c>
      <c r="H27" s="394" t="s">
        <v>1170</v>
      </c>
    </row>
    <row r="28" spans="1:8" s="394" customFormat="1">
      <c r="A28" s="394" t="s">
        <v>1171</v>
      </c>
      <c r="B28" s="393" t="s">
        <v>1096</v>
      </c>
      <c r="C28" s="393" t="s">
        <v>1108</v>
      </c>
      <c r="D28" s="393" t="s">
        <v>1109</v>
      </c>
      <c r="E28" s="393" t="s">
        <v>1172</v>
      </c>
      <c r="F28" s="393" t="str">
        <f t="shared" si="0"/>
        <v>195</v>
      </c>
      <c r="G28" s="393">
        <f t="shared" si="1"/>
        <v>195</v>
      </c>
      <c r="H28" s="394" t="s">
        <v>1173</v>
      </c>
    </row>
    <row r="29" spans="1:8" s="394" customFormat="1">
      <c r="A29" s="394" t="s">
        <v>1174</v>
      </c>
      <c r="B29" s="393" t="s">
        <v>1107</v>
      </c>
      <c r="C29" s="393" t="s">
        <v>1102</v>
      </c>
      <c r="D29" s="393" t="s">
        <v>1175</v>
      </c>
      <c r="E29" s="393" t="s">
        <v>1176</v>
      </c>
      <c r="F29" s="393" t="str">
        <f t="shared" si="0"/>
        <v>196</v>
      </c>
      <c r="G29" s="393">
        <f t="shared" si="1"/>
        <v>196</v>
      </c>
      <c r="H29" s="394" t="s">
        <v>1177</v>
      </c>
    </row>
    <row r="30" spans="1:8" s="394" customFormat="1">
      <c r="A30" s="394" t="s">
        <v>1178</v>
      </c>
      <c r="B30" s="393" t="s">
        <v>1179</v>
      </c>
      <c r="C30" s="393" t="s">
        <v>1097</v>
      </c>
      <c r="D30" s="393" t="s">
        <v>1098</v>
      </c>
      <c r="E30" s="393" t="s">
        <v>1114</v>
      </c>
      <c r="F30" s="393" t="str">
        <f t="shared" si="0"/>
        <v>211</v>
      </c>
      <c r="G30" s="393">
        <f t="shared" si="1"/>
        <v>211</v>
      </c>
      <c r="H30" s="394" t="s">
        <v>1180</v>
      </c>
    </row>
    <row r="31" spans="1:8" s="394" customFormat="1">
      <c r="A31" s="394" t="s">
        <v>1181</v>
      </c>
      <c r="B31" s="393" t="s">
        <v>1096</v>
      </c>
      <c r="C31" s="393" t="s">
        <v>1108</v>
      </c>
      <c r="D31" s="393" t="s">
        <v>1153</v>
      </c>
      <c r="E31" s="393" t="s">
        <v>1182</v>
      </c>
      <c r="F31" s="393" t="str">
        <f t="shared" si="0"/>
        <v>174</v>
      </c>
      <c r="G31" s="393">
        <f t="shared" si="1"/>
        <v>174</v>
      </c>
      <c r="H31" s="394" t="s">
        <v>1183</v>
      </c>
    </row>
    <row r="32" spans="1:8" s="394" customFormat="1">
      <c r="A32" s="394" t="s">
        <v>1184</v>
      </c>
      <c r="B32" s="393" t="s">
        <v>1113</v>
      </c>
      <c r="C32" s="393" t="s">
        <v>1097</v>
      </c>
      <c r="D32" s="393" t="s">
        <v>1098</v>
      </c>
      <c r="E32" s="393" t="s">
        <v>1185</v>
      </c>
      <c r="F32" s="393" t="str">
        <f t="shared" si="0"/>
        <v>204</v>
      </c>
      <c r="G32" s="393">
        <f t="shared" si="1"/>
        <v>204</v>
      </c>
      <c r="H32" s="394" t="s">
        <v>1186</v>
      </c>
    </row>
    <row r="33" spans="1:8" s="394" customFormat="1">
      <c r="A33" s="394" t="s">
        <v>1187</v>
      </c>
      <c r="B33" s="393" t="s">
        <v>1128</v>
      </c>
      <c r="C33" s="393" t="s">
        <v>1102</v>
      </c>
      <c r="D33" s="393" t="s">
        <v>1103</v>
      </c>
      <c r="E33" s="393" t="s">
        <v>1188</v>
      </c>
      <c r="F33" s="393" t="str">
        <f t="shared" si="0"/>
        <v>209</v>
      </c>
      <c r="G33" s="393">
        <f t="shared" si="1"/>
        <v>209</v>
      </c>
      <c r="H33" s="394" t="s">
        <v>1189</v>
      </c>
    </row>
    <row r="34" spans="1:8" s="394" customFormat="1">
      <c r="A34" s="394" t="s">
        <v>1190</v>
      </c>
      <c r="B34" s="393" t="s">
        <v>1107</v>
      </c>
      <c r="C34" s="393" t="s">
        <v>1097</v>
      </c>
      <c r="D34" s="393" t="s">
        <v>1098</v>
      </c>
      <c r="E34" s="393" t="s">
        <v>1191</v>
      </c>
      <c r="F34" s="393" t="str">
        <f t="shared" si="0"/>
        <v>201</v>
      </c>
      <c r="G34" s="393">
        <f t="shared" si="1"/>
        <v>201</v>
      </c>
      <c r="H34" s="394" t="s">
        <v>1192</v>
      </c>
    </row>
    <row r="35" spans="1:8" s="394" customFormat="1">
      <c r="A35" s="394" t="s">
        <v>1193</v>
      </c>
      <c r="B35" s="393" t="s">
        <v>1096</v>
      </c>
      <c r="C35" s="393" t="s">
        <v>1102</v>
      </c>
      <c r="D35" s="393" t="s">
        <v>1103</v>
      </c>
      <c r="E35" s="393" t="s">
        <v>1194</v>
      </c>
      <c r="F35" s="393" t="str">
        <f t="shared" si="0"/>
        <v>192</v>
      </c>
      <c r="G35" s="393">
        <f t="shared" si="1"/>
        <v>192</v>
      </c>
      <c r="H35" s="394" t="s">
        <v>1195</v>
      </c>
    </row>
    <row r="36" spans="1:8" s="394" customFormat="1">
      <c r="A36" s="394" t="s">
        <v>1196</v>
      </c>
      <c r="B36" s="393" t="s">
        <v>1113</v>
      </c>
      <c r="C36" s="393" t="s">
        <v>1097</v>
      </c>
      <c r="D36" s="393" t="s">
        <v>1098</v>
      </c>
      <c r="E36" s="393" t="s">
        <v>1197</v>
      </c>
      <c r="F36" s="393" t="str">
        <f t="shared" si="0"/>
        <v>179</v>
      </c>
      <c r="G36" s="393">
        <f t="shared" si="1"/>
        <v>179</v>
      </c>
      <c r="H36" s="394" t="s">
        <v>1198</v>
      </c>
    </row>
    <row r="37" spans="1:8" s="394" customFormat="1">
      <c r="A37" s="394" t="s">
        <v>1199</v>
      </c>
      <c r="B37" s="393" t="s">
        <v>1107</v>
      </c>
      <c r="C37" s="393" t="s">
        <v>1108</v>
      </c>
      <c r="D37" s="393" t="s">
        <v>1153</v>
      </c>
      <c r="E37" s="393" t="s">
        <v>1165</v>
      </c>
      <c r="F37" s="393" t="str">
        <f t="shared" si="0"/>
        <v>210</v>
      </c>
      <c r="G37" s="393">
        <f t="shared" si="1"/>
        <v>210</v>
      </c>
      <c r="H37" s="394" t="s">
        <v>1200</v>
      </c>
    </row>
    <row r="38" spans="1:8" s="394" customFormat="1">
      <c r="A38" s="394" t="s">
        <v>1201</v>
      </c>
      <c r="B38" s="393" t="s">
        <v>1202</v>
      </c>
      <c r="C38" s="393" t="s">
        <v>1102</v>
      </c>
      <c r="D38" s="393" t="s">
        <v>1103</v>
      </c>
      <c r="E38" s="393" t="s">
        <v>1203</v>
      </c>
      <c r="F38" s="393" t="str">
        <f t="shared" si="0"/>
        <v>200</v>
      </c>
      <c r="G38" s="393">
        <f t="shared" si="1"/>
        <v>200</v>
      </c>
      <c r="H38" s="394" t="s">
        <v>1204</v>
      </c>
    </row>
    <row r="39" spans="1:8" s="394" customFormat="1">
      <c r="A39" s="394" t="s">
        <v>1205</v>
      </c>
      <c r="B39" s="393" t="s">
        <v>1113</v>
      </c>
      <c r="C39" s="393" t="s">
        <v>1108</v>
      </c>
      <c r="D39" s="393" t="s">
        <v>1153</v>
      </c>
      <c r="E39" s="393" t="s">
        <v>1206</v>
      </c>
      <c r="F39" s="393" t="str">
        <f t="shared" si="0"/>
        <v>197</v>
      </c>
      <c r="G39" s="393">
        <f t="shared" si="1"/>
        <v>197</v>
      </c>
      <c r="H39" s="394" t="s">
        <v>1207</v>
      </c>
    </row>
    <row r="40" spans="1:8" s="394" customFormat="1">
      <c r="A40" s="394" t="s">
        <v>1208</v>
      </c>
      <c r="B40" s="393" t="s">
        <v>1209</v>
      </c>
      <c r="C40" s="393" t="s">
        <v>1091</v>
      </c>
      <c r="D40" s="393" t="s">
        <v>1092</v>
      </c>
      <c r="E40" s="393" t="s">
        <v>1210</v>
      </c>
      <c r="F40" s="393" t="str">
        <f t="shared" si="0"/>
        <v>217</v>
      </c>
      <c r="G40" s="393">
        <f t="shared" si="1"/>
        <v>217</v>
      </c>
      <c r="H40" s="394" t="s">
        <v>1211</v>
      </c>
    </row>
    <row r="41" spans="1:8" s="394" customFormat="1">
      <c r="A41" s="394" t="s">
        <v>1212</v>
      </c>
      <c r="B41" s="393" t="s">
        <v>1209</v>
      </c>
      <c r="C41" s="393" t="s">
        <v>1108</v>
      </c>
      <c r="D41" s="393" t="s">
        <v>1109</v>
      </c>
      <c r="E41" s="393" t="s">
        <v>1213</v>
      </c>
      <c r="F41" s="393" t="str">
        <f t="shared" si="0"/>
        <v>226</v>
      </c>
      <c r="G41" s="393">
        <f t="shared" si="1"/>
        <v>226</v>
      </c>
      <c r="H41" s="394" t="s">
        <v>1214</v>
      </c>
    </row>
    <row r="42" spans="1:8" s="394" customFormat="1">
      <c r="A42" s="394" t="s">
        <v>1215</v>
      </c>
      <c r="B42" s="393" t="s">
        <v>1107</v>
      </c>
      <c r="C42" s="393" t="s">
        <v>1091</v>
      </c>
      <c r="D42" s="393" t="s">
        <v>1092</v>
      </c>
      <c r="E42" s="393" t="s">
        <v>1216</v>
      </c>
      <c r="F42" s="393" t="str">
        <f t="shared" si="0"/>
        <v>200</v>
      </c>
      <c r="G42" s="393">
        <f t="shared" si="1"/>
        <v>200</v>
      </c>
      <c r="H42" s="394" t="s">
        <v>1217</v>
      </c>
    </row>
    <row r="43" spans="1:8" s="394" customFormat="1">
      <c r="A43" s="394" t="s">
        <v>1218</v>
      </c>
      <c r="B43" s="393" t="s">
        <v>1209</v>
      </c>
      <c r="C43" s="393" t="s">
        <v>1108</v>
      </c>
      <c r="D43" s="393" t="s">
        <v>1153</v>
      </c>
      <c r="E43" s="393" t="s">
        <v>1219</v>
      </c>
      <c r="F43" s="393" t="str">
        <f t="shared" si="0"/>
        <v>226</v>
      </c>
      <c r="G43" s="393">
        <f t="shared" si="1"/>
        <v>226</v>
      </c>
      <c r="H43" s="394" t="s">
        <v>1220</v>
      </c>
    </row>
    <row r="44" spans="1:8" s="394" customFormat="1">
      <c r="A44" s="394" t="s">
        <v>1221</v>
      </c>
      <c r="B44" s="393" t="s">
        <v>1222</v>
      </c>
      <c r="C44" s="393" t="s">
        <v>1102</v>
      </c>
      <c r="D44" s="393" t="s">
        <v>1103</v>
      </c>
      <c r="E44" s="393" t="s">
        <v>1223</v>
      </c>
      <c r="F44" s="393" t="str">
        <f t="shared" si="0"/>
        <v>219</v>
      </c>
      <c r="G44" s="393">
        <f t="shared" si="1"/>
        <v>219</v>
      </c>
      <c r="H44" s="394" t="s">
        <v>1224</v>
      </c>
    </row>
    <row r="45" spans="1:8" s="394" customFormat="1">
      <c r="A45" s="394" t="s">
        <v>1225</v>
      </c>
      <c r="B45" s="393" t="s">
        <v>1107</v>
      </c>
      <c r="C45" s="393" t="s">
        <v>1102</v>
      </c>
      <c r="D45" s="393" t="s">
        <v>1103</v>
      </c>
      <c r="E45" s="393" t="s">
        <v>1132</v>
      </c>
      <c r="F45" s="393" t="str">
        <f t="shared" si="0"/>
        <v>215</v>
      </c>
      <c r="G45" s="393">
        <f t="shared" si="1"/>
        <v>215</v>
      </c>
      <c r="H45" s="394" t="s">
        <v>1226</v>
      </c>
    </row>
    <row r="46" spans="1:8" s="394" customFormat="1">
      <c r="A46" s="394" t="s">
        <v>1227</v>
      </c>
      <c r="B46" s="393" t="s">
        <v>275</v>
      </c>
      <c r="C46" s="393" t="s">
        <v>1102</v>
      </c>
      <c r="D46" s="393" t="s">
        <v>1103</v>
      </c>
      <c r="E46" s="393" t="s">
        <v>1228</v>
      </c>
      <c r="F46" s="393" t="str">
        <f t="shared" si="0"/>
        <v>264</v>
      </c>
      <c r="G46" s="393">
        <f t="shared" si="1"/>
        <v>264</v>
      </c>
      <c r="H46" s="394" t="s">
        <v>1229</v>
      </c>
    </row>
    <row r="47" spans="1:8" s="394" customFormat="1">
      <c r="A47" s="394" t="s">
        <v>1230</v>
      </c>
      <c r="B47" s="393" t="s">
        <v>1231</v>
      </c>
      <c r="C47" s="393" t="s">
        <v>1097</v>
      </c>
      <c r="D47" s="393" t="s">
        <v>1098</v>
      </c>
      <c r="E47" s="393" t="s">
        <v>1232</v>
      </c>
      <c r="F47" s="393" t="str">
        <f t="shared" si="0"/>
        <v>213</v>
      </c>
      <c r="G47" s="393">
        <f t="shared" si="1"/>
        <v>213</v>
      </c>
      <c r="H47" s="394" t="s">
        <v>1233</v>
      </c>
    </row>
    <row r="48" spans="1:8" s="394" customFormat="1">
      <c r="A48" s="394" t="s">
        <v>1234</v>
      </c>
      <c r="B48" s="393" t="s">
        <v>1209</v>
      </c>
      <c r="C48" s="393" t="s">
        <v>1102</v>
      </c>
      <c r="D48" s="393" t="s">
        <v>1103</v>
      </c>
      <c r="E48" s="393" t="s">
        <v>1235</v>
      </c>
      <c r="F48" s="393" t="str">
        <f t="shared" si="0"/>
        <v>230</v>
      </c>
      <c r="G48" s="393">
        <f t="shared" si="1"/>
        <v>230</v>
      </c>
      <c r="H48" s="394" t="s">
        <v>1236</v>
      </c>
    </row>
    <row r="49" spans="1:8" s="394" customFormat="1">
      <c r="A49" s="394" t="s">
        <v>1237</v>
      </c>
      <c r="B49" s="393" t="s">
        <v>275</v>
      </c>
      <c r="C49" s="393" t="s">
        <v>1108</v>
      </c>
      <c r="D49" s="393" t="s">
        <v>1109</v>
      </c>
      <c r="E49" s="393" t="s">
        <v>1238</v>
      </c>
      <c r="F49" s="393" t="str">
        <f t="shared" si="0"/>
        <v>258</v>
      </c>
      <c r="G49" s="393">
        <f t="shared" si="1"/>
        <v>258</v>
      </c>
      <c r="H49" s="394" t="s">
        <v>1239</v>
      </c>
    </row>
    <row r="50" spans="1:8" s="394" customFormat="1">
      <c r="A50" s="394" t="s">
        <v>1240</v>
      </c>
      <c r="B50" s="393" t="s">
        <v>1231</v>
      </c>
      <c r="C50" s="393" t="s">
        <v>1102</v>
      </c>
      <c r="D50" s="393" t="s">
        <v>1098</v>
      </c>
      <c r="E50" s="393" t="s">
        <v>1241</v>
      </c>
      <c r="F50" s="393" t="str">
        <f t="shared" si="0"/>
        <v>240</v>
      </c>
      <c r="G50" s="393">
        <f t="shared" si="1"/>
        <v>240</v>
      </c>
      <c r="H50" s="394" t="s">
        <v>1147</v>
      </c>
    </row>
    <row r="51" spans="1:8" s="394" customFormat="1">
      <c r="A51" s="394" t="s">
        <v>1242</v>
      </c>
      <c r="B51" s="393" t="s">
        <v>1222</v>
      </c>
      <c r="C51" s="393" t="s">
        <v>1097</v>
      </c>
      <c r="D51" s="393" t="s">
        <v>1098</v>
      </c>
      <c r="E51" s="393" t="s">
        <v>1243</v>
      </c>
      <c r="F51" s="393" t="str">
        <f t="shared" si="0"/>
        <v>217</v>
      </c>
      <c r="G51" s="393">
        <f t="shared" si="1"/>
        <v>217</v>
      </c>
      <c r="H51" s="394" t="s">
        <v>1115</v>
      </c>
    </row>
    <row r="52" spans="1:8" s="394" customFormat="1">
      <c r="A52" s="394" t="s">
        <v>1244</v>
      </c>
      <c r="B52" s="393" t="s">
        <v>1128</v>
      </c>
      <c r="C52" s="393" t="s">
        <v>1108</v>
      </c>
      <c r="D52" s="393" t="s">
        <v>1103</v>
      </c>
      <c r="E52" s="393" t="s">
        <v>1245</v>
      </c>
      <c r="F52" s="393" t="str">
        <f t="shared" si="0"/>
        <v>198</v>
      </c>
      <c r="G52" s="393">
        <f t="shared" si="1"/>
        <v>198</v>
      </c>
      <c r="H52" s="394" t="s">
        <v>1246</v>
      </c>
    </row>
    <row r="53" spans="1:8" s="394" customFormat="1">
      <c r="A53" s="394" t="s">
        <v>1247</v>
      </c>
      <c r="B53" s="393" t="s">
        <v>1209</v>
      </c>
      <c r="C53" s="393" t="s">
        <v>1097</v>
      </c>
      <c r="D53" s="393" t="s">
        <v>1098</v>
      </c>
      <c r="E53" s="393" t="s">
        <v>1248</v>
      </c>
      <c r="F53" s="393" t="str">
        <f t="shared" si="0"/>
        <v>197</v>
      </c>
      <c r="G53" s="393">
        <f t="shared" si="1"/>
        <v>197</v>
      </c>
      <c r="H53" s="394" t="s">
        <v>1249</v>
      </c>
    </row>
    <row r="54" spans="1:8" s="394" customFormat="1">
      <c r="A54" s="394" t="s">
        <v>1250</v>
      </c>
      <c r="B54" s="393" t="s">
        <v>1231</v>
      </c>
      <c r="C54" s="393" t="s">
        <v>1108</v>
      </c>
      <c r="D54" s="393" t="s">
        <v>1153</v>
      </c>
      <c r="E54" s="393" t="s">
        <v>1251</v>
      </c>
      <c r="F54" s="393" t="str">
        <f t="shared" si="0"/>
        <v>242</v>
      </c>
      <c r="G54" s="393">
        <f t="shared" si="1"/>
        <v>242</v>
      </c>
      <c r="H54" s="394" t="s">
        <v>1252</v>
      </c>
    </row>
    <row r="55" spans="1:8" s="394" customFormat="1">
      <c r="A55" s="394" t="s">
        <v>1253</v>
      </c>
      <c r="B55" s="393" t="s">
        <v>1231</v>
      </c>
      <c r="C55" s="393" t="s">
        <v>1108</v>
      </c>
      <c r="D55" s="393" t="s">
        <v>1153</v>
      </c>
      <c r="E55" s="393" t="s">
        <v>1254</v>
      </c>
      <c r="F55" s="393" t="str">
        <f t="shared" si="0"/>
        <v>246</v>
      </c>
      <c r="G55" s="393">
        <f t="shared" si="1"/>
        <v>246</v>
      </c>
      <c r="H55" s="394" t="s">
        <v>1255</v>
      </c>
    </row>
    <row r="56" spans="1:8" s="394" customFormat="1">
      <c r="A56" s="394" t="s">
        <v>1256</v>
      </c>
      <c r="B56" s="393" t="s">
        <v>1222</v>
      </c>
      <c r="C56" s="393" t="s">
        <v>1108</v>
      </c>
      <c r="D56" s="393" t="s">
        <v>1153</v>
      </c>
      <c r="E56" s="393" t="s">
        <v>1257</v>
      </c>
      <c r="F56" s="393" t="str">
        <f t="shared" si="0"/>
        <v>257</v>
      </c>
      <c r="G56" s="393">
        <f t="shared" si="1"/>
        <v>257</v>
      </c>
      <c r="H56" s="394" t="s">
        <v>1226</v>
      </c>
    </row>
    <row r="57" spans="1:8" s="394" customFormat="1">
      <c r="A57" s="394" t="s">
        <v>1258</v>
      </c>
      <c r="B57" s="393" t="s">
        <v>1222</v>
      </c>
      <c r="C57" s="393" t="s">
        <v>1108</v>
      </c>
      <c r="D57" s="393" t="s">
        <v>1153</v>
      </c>
      <c r="E57" s="393" t="s">
        <v>1259</v>
      </c>
      <c r="F57" s="393" t="str">
        <f t="shared" si="0"/>
        <v>228</v>
      </c>
      <c r="G57" s="393">
        <f t="shared" si="1"/>
        <v>228</v>
      </c>
      <c r="H57" s="394" t="s">
        <v>1260</v>
      </c>
    </row>
    <row r="58" spans="1:8" s="394" customFormat="1">
      <c r="A58" s="394" t="s">
        <v>1261</v>
      </c>
      <c r="B58" s="393" t="s">
        <v>1209</v>
      </c>
      <c r="C58" s="393" t="s">
        <v>1108</v>
      </c>
      <c r="D58" s="393" t="s">
        <v>1153</v>
      </c>
      <c r="E58" s="393" t="s">
        <v>1262</v>
      </c>
      <c r="F58" s="393" t="str">
        <f t="shared" si="0"/>
        <v>233</v>
      </c>
      <c r="G58" s="393">
        <f t="shared" si="1"/>
        <v>233</v>
      </c>
      <c r="H58" s="394" t="s">
        <v>1263</v>
      </c>
    </row>
    <row r="59" spans="1:8" s="394" customFormat="1">
      <c r="A59" s="394" t="s">
        <v>1264</v>
      </c>
      <c r="B59" s="393" t="s">
        <v>275</v>
      </c>
      <c r="C59" s="393" t="s">
        <v>1097</v>
      </c>
      <c r="D59" s="393" t="s">
        <v>1098</v>
      </c>
      <c r="E59" s="393" t="s">
        <v>1265</v>
      </c>
      <c r="F59" s="393" t="str">
        <f t="shared" si="0"/>
        <v>258</v>
      </c>
      <c r="G59" s="393">
        <f t="shared" si="1"/>
        <v>258</v>
      </c>
      <c r="H59" s="394" t="s">
        <v>1266</v>
      </c>
    </row>
    <row r="60" spans="1:8" s="394" customFormat="1">
      <c r="A60" s="394" t="s">
        <v>1267</v>
      </c>
      <c r="B60" s="393" t="s">
        <v>1268</v>
      </c>
      <c r="C60" s="393" t="s">
        <v>1102</v>
      </c>
      <c r="D60" s="393" t="s">
        <v>1103</v>
      </c>
      <c r="E60" s="393" t="s">
        <v>1269</v>
      </c>
      <c r="F60" s="393" t="str">
        <f t="shared" si="0"/>
        <v>335</v>
      </c>
      <c r="G60" s="393">
        <f t="shared" si="1"/>
        <v>335</v>
      </c>
      <c r="H60" s="394" t="s">
        <v>1270</v>
      </c>
    </row>
    <row r="61" spans="1:8" s="394" customFormat="1">
      <c r="A61" s="394" t="s">
        <v>1271</v>
      </c>
      <c r="B61" s="393" t="s">
        <v>1090</v>
      </c>
      <c r="C61" s="393" t="s">
        <v>1091</v>
      </c>
      <c r="D61" s="393" t="s">
        <v>1092</v>
      </c>
      <c r="E61" s="393" t="s">
        <v>1272</v>
      </c>
      <c r="F61" s="393" t="str">
        <f t="shared" si="0"/>
        <v>294</v>
      </c>
      <c r="G61" s="393">
        <f t="shared" si="1"/>
        <v>294</v>
      </c>
      <c r="H61" s="394" t="s">
        <v>1273</v>
      </c>
    </row>
    <row r="62" spans="1:8" s="394" customFormat="1">
      <c r="A62" s="394" t="s">
        <v>1274</v>
      </c>
      <c r="B62" s="393" t="s">
        <v>1209</v>
      </c>
      <c r="C62" s="393" t="s">
        <v>1097</v>
      </c>
      <c r="D62" s="393" t="s">
        <v>1098</v>
      </c>
      <c r="E62" s="393" t="s">
        <v>1132</v>
      </c>
      <c r="F62" s="393" t="str">
        <f t="shared" si="0"/>
        <v>215</v>
      </c>
      <c r="G62" s="393">
        <f t="shared" si="1"/>
        <v>215</v>
      </c>
      <c r="H62" s="394" t="s">
        <v>1275</v>
      </c>
    </row>
    <row r="63" spans="1:8" s="394" customFormat="1">
      <c r="A63" s="394" t="s">
        <v>1276</v>
      </c>
      <c r="B63" s="393" t="s">
        <v>1277</v>
      </c>
      <c r="C63" s="393" t="s">
        <v>1108</v>
      </c>
      <c r="D63" s="393" t="s">
        <v>1109</v>
      </c>
      <c r="E63" s="393" t="s">
        <v>1278</v>
      </c>
      <c r="F63" s="393" t="str">
        <f t="shared" si="0"/>
        <v>290</v>
      </c>
      <c r="G63" s="393">
        <f t="shared" si="1"/>
        <v>290</v>
      </c>
      <c r="H63" s="394" t="s">
        <v>1279</v>
      </c>
    </row>
    <row r="64" spans="1:8" s="394" customFormat="1">
      <c r="A64" s="394" t="s">
        <v>1280</v>
      </c>
      <c r="B64" s="393" t="s">
        <v>1202</v>
      </c>
      <c r="C64" s="393" t="s">
        <v>1102</v>
      </c>
      <c r="D64" s="393" t="s">
        <v>1103</v>
      </c>
      <c r="E64" s="393" t="s">
        <v>1281</v>
      </c>
      <c r="F64" s="393" t="str">
        <f t="shared" si="0"/>
        <v>189</v>
      </c>
      <c r="G64" s="393">
        <f t="shared" si="1"/>
        <v>189</v>
      </c>
      <c r="H64" s="394" t="s">
        <v>1282</v>
      </c>
    </row>
    <row r="65" spans="1:8" s="394" customFormat="1">
      <c r="A65" s="394" t="s">
        <v>1283</v>
      </c>
      <c r="B65" s="393" t="s">
        <v>275</v>
      </c>
      <c r="C65" s="393" t="s">
        <v>1108</v>
      </c>
      <c r="D65" s="393" t="s">
        <v>1153</v>
      </c>
      <c r="E65" s="393" t="s">
        <v>1284</v>
      </c>
      <c r="F65" s="393" t="str">
        <f t="shared" si="0"/>
        <v>274</v>
      </c>
      <c r="G65" s="393">
        <f t="shared" si="1"/>
        <v>274</v>
      </c>
      <c r="H65" s="394" t="s">
        <v>1285</v>
      </c>
    </row>
    <row r="66" spans="1:8" s="394" customFormat="1">
      <c r="A66" s="394" t="s">
        <v>1286</v>
      </c>
      <c r="B66" s="393" t="s">
        <v>1090</v>
      </c>
      <c r="C66" s="393" t="s">
        <v>1108</v>
      </c>
      <c r="D66" s="393" t="s">
        <v>1153</v>
      </c>
      <c r="E66" s="393" t="s">
        <v>1287</v>
      </c>
      <c r="F66" s="393" t="str">
        <f t="shared" si="0"/>
        <v>277</v>
      </c>
      <c r="G66" s="393">
        <f t="shared" si="1"/>
        <v>277</v>
      </c>
      <c r="H66" s="394" t="s">
        <v>1288</v>
      </c>
    </row>
    <row r="67" spans="1:8" s="394" customFormat="1">
      <c r="A67" s="394" t="s">
        <v>1289</v>
      </c>
      <c r="B67" s="393" t="s">
        <v>1290</v>
      </c>
      <c r="C67" s="393" t="s">
        <v>1108</v>
      </c>
      <c r="D67" s="393" t="s">
        <v>1153</v>
      </c>
      <c r="E67" s="393" t="s">
        <v>1291</v>
      </c>
      <c r="F67" s="393" t="str">
        <f t="shared" si="0"/>
        <v>304</v>
      </c>
      <c r="G67" s="393">
        <f t="shared" si="1"/>
        <v>304</v>
      </c>
      <c r="H67" s="394" t="s">
        <v>1292</v>
      </c>
    </row>
    <row r="68" spans="1:8" s="394" customFormat="1">
      <c r="A68" s="394" t="s">
        <v>1293</v>
      </c>
      <c r="B68" s="393" t="s">
        <v>15</v>
      </c>
      <c r="C68" s="393" t="s">
        <v>1102</v>
      </c>
      <c r="D68" s="393" t="s">
        <v>1103</v>
      </c>
      <c r="E68" s="393" t="s">
        <v>1294</v>
      </c>
      <c r="F68" s="393" t="str">
        <f t="shared" si="0"/>
        <v>298</v>
      </c>
      <c r="G68" s="393">
        <f t="shared" si="1"/>
        <v>298</v>
      </c>
      <c r="H68" s="394" t="s">
        <v>1295</v>
      </c>
    </row>
    <row r="69" spans="1:8" s="394" customFormat="1">
      <c r="A69" s="394" t="s">
        <v>1296</v>
      </c>
      <c r="B69" s="393" t="s">
        <v>1268</v>
      </c>
      <c r="C69" s="393" t="s">
        <v>1108</v>
      </c>
      <c r="D69" s="393" t="s">
        <v>1153</v>
      </c>
      <c r="E69" s="393" t="s">
        <v>1297</v>
      </c>
      <c r="F69" s="393" t="str">
        <f t="shared" si="0"/>
        <v>295</v>
      </c>
      <c r="G69" s="393">
        <f t="shared" si="1"/>
        <v>295</v>
      </c>
      <c r="H69" s="394" t="s">
        <v>1298</v>
      </c>
    </row>
    <row r="70" spans="1:8" s="394" customFormat="1">
      <c r="A70" s="394" t="s">
        <v>1299</v>
      </c>
      <c r="B70" s="393" t="s">
        <v>275</v>
      </c>
      <c r="C70" s="393" t="s">
        <v>1102</v>
      </c>
      <c r="D70" s="393" t="s">
        <v>1103</v>
      </c>
      <c r="E70" s="393" t="s">
        <v>1300</v>
      </c>
      <c r="F70" s="393" t="str">
        <f t="shared" si="0"/>
        <v>212</v>
      </c>
      <c r="G70" s="393">
        <f t="shared" si="1"/>
        <v>212</v>
      </c>
      <c r="H70" s="394" t="s">
        <v>1301</v>
      </c>
    </row>
    <row r="71" spans="1:8" s="394" customFormat="1">
      <c r="A71" s="394" t="s">
        <v>1302</v>
      </c>
      <c r="B71" s="393" t="s">
        <v>15</v>
      </c>
      <c r="C71" s="393" t="s">
        <v>1091</v>
      </c>
      <c r="D71" s="393" t="s">
        <v>1092</v>
      </c>
      <c r="E71" s="393" t="s">
        <v>1297</v>
      </c>
      <c r="F71" s="393" t="str">
        <f t="shared" ref="F71:F104" si="2">RIGHT(E71,3)</f>
        <v>295</v>
      </c>
      <c r="G71" s="393">
        <f t="shared" ref="G71:G104" si="3">VALUE(F71)</f>
        <v>295</v>
      </c>
      <c r="H71" s="394" t="s">
        <v>1303</v>
      </c>
    </row>
    <row r="72" spans="1:8" s="394" customFormat="1">
      <c r="A72" s="394" t="s">
        <v>1304</v>
      </c>
      <c r="B72" s="393" t="s">
        <v>1090</v>
      </c>
      <c r="C72" s="393" t="s">
        <v>1097</v>
      </c>
      <c r="D72" s="393" t="s">
        <v>1098</v>
      </c>
      <c r="E72" s="393" t="s">
        <v>1305</v>
      </c>
      <c r="F72" s="393" t="str">
        <f t="shared" si="2"/>
        <v>298</v>
      </c>
      <c r="G72" s="393">
        <f t="shared" si="3"/>
        <v>298</v>
      </c>
      <c r="H72" s="394" t="s">
        <v>1306</v>
      </c>
    </row>
    <row r="73" spans="1:8" s="394" customFormat="1">
      <c r="A73" s="394" t="s">
        <v>1307</v>
      </c>
      <c r="B73" s="393" t="s">
        <v>275</v>
      </c>
      <c r="C73" s="393" t="s">
        <v>1102</v>
      </c>
      <c r="D73" s="393" t="s">
        <v>1098</v>
      </c>
      <c r="E73" s="393" t="s">
        <v>1308</v>
      </c>
      <c r="F73" s="393" t="str">
        <f t="shared" si="2"/>
        <v>230</v>
      </c>
      <c r="G73" s="393">
        <f t="shared" si="3"/>
        <v>230</v>
      </c>
      <c r="H73" s="394" t="s">
        <v>1309</v>
      </c>
    </row>
    <row r="74" spans="1:8" s="394" customFormat="1">
      <c r="A74" s="394" t="s">
        <v>1310</v>
      </c>
      <c r="B74" s="393" t="s">
        <v>1311</v>
      </c>
      <c r="C74" s="393" t="s">
        <v>1091</v>
      </c>
      <c r="D74" s="393" t="s">
        <v>1092</v>
      </c>
      <c r="E74" s="393" t="s">
        <v>1312</v>
      </c>
      <c r="F74" s="393" t="str">
        <f t="shared" si="2"/>
        <v>291</v>
      </c>
      <c r="G74" s="393">
        <f t="shared" si="3"/>
        <v>291</v>
      </c>
      <c r="H74" s="394" t="s">
        <v>1313</v>
      </c>
    </row>
    <row r="75" spans="1:8" s="394" customFormat="1">
      <c r="A75" s="394" t="s">
        <v>1314</v>
      </c>
      <c r="B75" s="393" t="s">
        <v>1090</v>
      </c>
      <c r="C75" s="393" t="s">
        <v>1097</v>
      </c>
      <c r="D75" s="393" t="s">
        <v>1098</v>
      </c>
      <c r="E75" s="393" t="s">
        <v>1315</v>
      </c>
      <c r="F75" s="393" t="str">
        <f t="shared" si="2"/>
        <v>310</v>
      </c>
      <c r="G75" s="393">
        <f t="shared" si="3"/>
        <v>310</v>
      </c>
      <c r="H75" s="394" t="s">
        <v>1316</v>
      </c>
    </row>
    <row r="76" spans="1:8" s="394" customFormat="1">
      <c r="A76" s="394" t="s">
        <v>1317</v>
      </c>
      <c r="B76" s="393" t="s">
        <v>1290</v>
      </c>
      <c r="C76" s="393" t="s">
        <v>1102</v>
      </c>
      <c r="D76" s="393" t="s">
        <v>1103</v>
      </c>
      <c r="E76" s="393" t="s">
        <v>1318</v>
      </c>
      <c r="F76" s="393" t="str">
        <f t="shared" si="2"/>
        <v>329</v>
      </c>
      <c r="G76" s="393">
        <f t="shared" si="3"/>
        <v>329</v>
      </c>
      <c r="H76" s="394" t="s">
        <v>1319</v>
      </c>
    </row>
    <row r="77" spans="1:8" s="394" customFormat="1">
      <c r="A77" s="394" t="s">
        <v>1320</v>
      </c>
      <c r="B77" s="393" t="s">
        <v>1290</v>
      </c>
      <c r="C77" s="393" t="s">
        <v>1108</v>
      </c>
      <c r="D77" s="393" t="s">
        <v>1109</v>
      </c>
      <c r="E77" s="393" t="s">
        <v>1321</v>
      </c>
      <c r="F77" s="393" t="str">
        <f t="shared" si="2"/>
        <v>325</v>
      </c>
      <c r="G77" s="393">
        <f t="shared" si="3"/>
        <v>325</v>
      </c>
      <c r="H77" s="394" t="s">
        <v>1322</v>
      </c>
    </row>
    <row r="78" spans="1:8" s="394" customFormat="1">
      <c r="A78" s="394" t="s">
        <v>1323</v>
      </c>
      <c r="B78" s="393" t="s">
        <v>275</v>
      </c>
      <c r="C78" s="393" t="s">
        <v>1108</v>
      </c>
      <c r="D78" s="393" t="s">
        <v>1153</v>
      </c>
      <c r="E78" s="393" t="s">
        <v>1324</v>
      </c>
      <c r="F78" s="393" t="str">
        <f t="shared" si="2"/>
        <v>276</v>
      </c>
      <c r="G78" s="393">
        <f t="shared" si="3"/>
        <v>276</v>
      </c>
      <c r="H78" s="394" t="s">
        <v>1325</v>
      </c>
    </row>
    <row r="79" spans="1:8" s="394" customFormat="1">
      <c r="A79" s="394" t="s">
        <v>1326</v>
      </c>
      <c r="B79" s="393" t="s">
        <v>1268</v>
      </c>
      <c r="C79" s="393" t="s">
        <v>1102</v>
      </c>
      <c r="D79" s="393" t="s">
        <v>1103</v>
      </c>
      <c r="E79" s="393" t="s">
        <v>1327</v>
      </c>
      <c r="F79" s="393" t="str">
        <f t="shared" si="2"/>
        <v>310</v>
      </c>
      <c r="G79" s="393">
        <f t="shared" si="3"/>
        <v>310</v>
      </c>
      <c r="H79" s="394" t="s">
        <v>1328</v>
      </c>
    </row>
    <row r="80" spans="1:8" s="394" customFormat="1">
      <c r="A80" s="394" t="s">
        <v>1329</v>
      </c>
      <c r="B80" s="393" t="s">
        <v>1290</v>
      </c>
      <c r="C80" s="393" t="s">
        <v>1097</v>
      </c>
      <c r="D80" s="393" t="s">
        <v>1103</v>
      </c>
      <c r="E80" s="393" t="s">
        <v>1330</v>
      </c>
      <c r="F80" s="393" t="str">
        <f t="shared" si="2"/>
        <v>305</v>
      </c>
      <c r="G80" s="393">
        <f t="shared" si="3"/>
        <v>305</v>
      </c>
      <c r="H80" s="394" t="s">
        <v>1331</v>
      </c>
    </row>
    <row r="81" spans="1:8" s="394" customFormat="1">
      <c r="A81" s="394" t="s">
        <v>1332</v>
      </c>
      <c r="B81" s="393" t="s">
        <v>1290</v>
      </c>
      <c r="C81" s="393" t="s">
        <v>1108</v>
      </c>
      <c r="D81" s="393" t="s">
        <v>1153</v>
      </c>
      <c r="E81" s="393" t="s">
        <v>1333</v>
      </c>
      <c r="F81" s="393" t="str">
        <f t="shared" si="2"/>
        <v>305</v>
      </c>
      <c r="G81" s="393">
        <f t="shared" si="3"/>
        <v>305</v>
      </c>
      <c r="H81" s="394" t="s">
        <v>1334</v>
      </c>
    </row>
    <row r="82" spans="1:8" s="394" customFormat="1">
      <c r="A82" s="394" t="s">
        <v>1335</v>
      </c>
      <c r="B82" s="393" t="s">
        <v>1268</v>
      </c>
      <c r="C82" s="393" t="s">
        <v>1102</v>
      </c>
      <c r="D82" s="393" t="s">
        <v>1103</v>
      </c>
      <c r="E82" s="393" t="s">
        <v>1336</v>
      </c>
      <c r="F82" s="393" t="str">
        <f t="shared" si="2"/>
        <v>328</v>
      </c>
      <c r="G82" s="393">
        <f t="shared" si="3"/>
        <v>328</v>
      </c>
      <c r="H82" s="394" t="s">
        <v>1337</v>
      </c>
    </row>
    <row r="83" spans="1:8" s="394" customFormat="1">
      <c r="A83" s="394" t="s">
        <v>1338</v>
      </c>
      <c r="B83" s="393" t="s">
        <v>1128</v>
      </c>
      <c r="C83" s="393" t="s">
        <v>1102</v>
      </c>
      <c r="D83" s="393" t="s">
        <v>1103</v>
      </c>
      <c r="E83" s="393" t="s">
        <v>1110</v>
      </c>
      <c r="F83" s="393" t="str">
        <f t="shared" si="2"/>
        <v>197</v>
      </c>
      <c r="G83" s="393">
        <f t="shared" si="3"/>
        <v>197</v>
      </c>
      <c r="H83" s="394" t="s">
        <v>1339</v>
      </c>
    </row>
    <row r="84" spans="1:8" s="394" customFormat="1">
      <c r="A84" s="394" t="s">
        <v>1340</v>
      </c>
      <c r="B84" s="393" t="s">
        <v>1124</v>
      </c>
      <c r="C84" s="393" t="s">
        <v>1102</v>
      </c>
      <c r="D84" s="393" t="s">
        <v>1103</v>
      </c>
      <c r="E84" s="393" t="s">
        <v>1341</v>
      </c>
      <c r="F84" s="393" t="str">
        <f t="shared" si="2"/>
        <v>234</v>
      </c>
      <c r="G84" s="393">
        <f t="shared" si="3"/>
        <v>234</v>
      </c>
      <c r="H84" s="394" t="s">
        <v>1122</v>
      </c>
    </row>
    <row r="85" spans="1:8" s="394" customFormat="1">
      <c r="A85" s="394" t="s">
        <v>1342</v>
      </c>
      <c r="B85" s="393" t="s">
        <v>1128</v>
      </c>
      <c r="C85" s="393" t="s">
        <v>1108</v>
      </c>
      <c r="D85" s="393" t="s">
        <v>1153</v>
      </c>
      <c r="E85" s="393" t="s">
        <v>1343</v>
      </c>
      <c r="F85" s="393" t="str">
        <f t="shared" si="2"/>
        <v>202</v>
      </c>
      <c r="G85" s="393">
        <f t="shared" si="3"/>
        <v>202</v>
      </c>
      <c r="H85" s="394" t="s">
        <v>1344</v>
      </c>
    </row>
    <row r="86" spans="1:8" s="394" customFormat="1">
      <c r="A86" s="394" t="s">
        <v>1345</v>
      </c>
      <c r="B86" s="393" t="s">
        <v>275</v>
      </c>
      <c r="C86" s="393" t="s">
        <v>1097</v>
      </c>
      <c r="D86" s="393" t="s">
        <v>1098</v>
      </c>
      <c r="E86" s="393" t="s">
        <v>1346</v>
      </c>
      <c r="F86" s="393" t="str">
        <f t="shared" si="2"/>
        <v>247</v>
      </c>
      <c r="G86" s="393">
        <f t="shared" si="3"/>
        <v>247</v>
      </c>
      <c r="H86" s="394" t="s">
        <v>1347</v>
      </c>
    </row>
    <row r="87" spans="1:8" s="394" customFormat="1">
      <c r="A87" s="394" t="s">
        <v>1348</v>
      </c>
      <c r="B87" s="393" t="s">
        <v>1124</v>
      </c>
      <c r="C87" s="393" t="s">
        <v>1091</v>
      </c>
      <c r="D87" s="393" t="s">
        <v>1092</v>
      </c>
      <c r="E87" s="393" t="s">
        <v>1349</v>
      </c>
      <c r="F87" s="393" t="str">
        <f t="shared" si="2"/>
        <v>231</v>
      </c>
      <c r="G87" s="393">
        <f t="shared" si="3"/>
        <v>231</v>
      </c>
      <c r="H87" s="394" t="s">
        <v>1350</v>
      </c>
    </row>
    <row r="88" spans="1:8" s="394" customFormat="1">
      <c r="A88" s="394" t="s">
        <v>1351</v>
      </c>
      <c r="B88" s="393" t="s">
        <v>1277</v>
      </c>
      <c r="C88" s="393" t="s">
        <v>1091</v>
      </c>
      <c r="D88" s="393" t="s">
        <v>1092</v>
      </c>
      <c r="E88" s="393" t="s">
        <v>1297</v>
      </c>
      <c r="F88" s="393" t="str">
        <f t="shared" si="2"/>
        <v>295</v>
      </c>
      <c r="G88" s="393">
        <f t="shared" si="3"/>
        <v>295</v>
      </c>
      <c r="H88" s="394" t="s">
        <v>1352</v>
      </c>
    </row>
    <row r="89" spans="1:8" s="394" customFormat="1">
      <c r="A89" s="394" t="s">
        <v>1353</v>
      </c>
      <c r="B89" s="393" t="s">
        <v>1124</v>
      </c>
      <c r="C89" s="393" t="s">
        <v>1108</v>
      </c>
      <c r="D89" s="393" t="s">
        <v>1098</v>
      </c>
      <c r="E89" s="393" t="s">
        <v>1354</v>
      </c>
      <c r="F89" s="393" t="str">
        <f t="shared" si="2"/>
        <v>258</v>
      </c>
      <c r="G89" s="393">
        <f t="shared" si="3"/>
        <v>258</v>
      </c>
      <c r="H89" s="394" t="s">
        <v>1355</v>
      </c>
    </row>
    <row r="90" spans="1:8" s="394" customFormat="1">
      <c r="A90" s="394" t="s">
        <v>1356</v>
      </c>
      <c r="B90" s="393" t="s">
        <v>275</v>
      </c>
      <c r="C90" s="393" t="s">
        <v>1091</v>
      </c>
      <c r="D90" s="393" t="s">
        <v>1092</v>
      </c>
      <c r="E90" s="393" t="s">
        <v>1357</v>
      </c>
      <c r="F90" s="393" t="str">
        <f t="shared" si="2"/>
        <v>234</v>
      </c>
      <c r="G90" s="393">
        <f t="shared" si="3"/>
        <v>234</v>
      </c>
      <c r="H90" s="394" t="s">
        <v>1358</v>
      </c>
    </row>
    <row r="91" spans="1:8" s="394" customFormat="1">
      <c r="A91" s="394" t="s">
        <v>1359</v>
      </c>
      <c r="B91" s="393" t="s">
        <v>1124</v>
      </c>
      <c r="C91" s="393" t="s">
        <v>1097</v>
      </c>
      <c r="D91" s="393" t="s">
        <v>1098</v>
      </c>
      <c r="E91" s="393" t="s">
        <v>1360</v>
      </c>
      <c r="F91" s="393" t="str">
        <f t="shared" si="2"/>
        <v>254</v>
      </c>
      <c r="G91" s="393">
        <f t="shared" si="3"/>
        <v>254</v>
      </c>
      <c r="H91" s="394" t="s">
        <v>1361</v>
      </c>
    </row>
    <row r="92" spans="1:8" s="394" customFormat="1">
      <c r="A92" s="394" t="s">
        <v>1362</v>
      </c>
      <c r="B92" s="393" t="s">
        <v>1124</v>
      </c>
      <c r="C92" s="393" t="s">
        <v>1102</v>
      </c>
      <c r="D92" s="393" t="s">
        <v>1103</v>
      </c>
      <c r="E92" s="393" t="s">
        <v>1363</v>
      </c>
      <c r="F92" s="393" t="str">
        <f t="shared" si="2"/>
        <v>270</v>
      </c>
      <c r="G92" s="393">
        <f t="shared" si="3"/>
        <v>270</v>
      </c>
      <c r="H92" s="394" t="s">
        <v>1364</v>
      </c>
    </row>
    <row r="93" spans="1:8" s="394" customFormat="1">
      <c r="A93" s="394" t="s">
        <v>1365</v>
      </c>
      <c r="B93" s="393" t="s">
        <v>275</v>
      </c>
      <c r="C93" s="393" t="s">
        <v>1091</v>
      </c>
      <c r="D93" s="393" t="s">
        <v>1092</v>
      </c>
      <c r="E93" s="393" t="s">
        <v>1360</v>
      </c>
      <c r="F93" s="393" t="str">
        <f t="shared" si="2"/>
        <v>254</v>
      </c>
      <c r="G93" s="393">
        <f t="shared" si="3"/>
        <v>254</v>
      </c>
      <c r="H93" s="394" t="s">
        <v>1366</v>
      </c>
    </row>
    <row r="94" spans="1:8" s="394" customFormat="1">
      <c r="A94" s="394" t="s">
        <v>1367</v>
      </c>
      <c r="B94" s="393" t="s">
        <v>1277</v>
      </c>
      <c r="C94" s="393" t="s">
        <v>1108</v>
      </c>
      <c r="D94" s="393" t="s">
        <v>1109</v>
      </c>
      <c r="E94" s="393" t="s">
        <v>1368</v>
      </c>
      <c r="F94" s="393" t="str">
        <f t="shared" si="2"/>
        <v>316</v>
      </c>
      <c r="G94" s="393">
        <f t="shared" si="3"/>
        <v>316</v>
      </c>
      <c r="H94" s="394" t="s">
        <v>1369</v>
      </c>
    </row>
    <row r="95" spans="1:8" s="394" customFormat="1">
      <c r="A95" s="394" t="s">
        <v>1370</v>
      </c>
      <c r="B95" s="393" t="s">
        <v>1202</v>
      </c>
      <c r="C95" s="393" t="s">
        <v>1097</v>
      </c>
      <c r="D95" s="393" t="s">
        <v>1098</v>
      </c>
      <c r="E95" s="393" t="s">
        <v>1371</v>
      </c>
      <c r="F95" s="393" t="str">
        <f t="shared" si="2"/>
        <v>211</v>
      </c>
      <c r="G95" s="393">
        <f t="shared" si="3"/>
        <v>211</v>
      </c>
      <c r="H95" s="394" t="s">
        <v>1372</v>
      </c>
    </row>
    <row r="96" spans="1:8" s="394" customFormat="1">
      <c r="A96" s="394" t="s">
        <v>1373</v>
      </c>
      <c r="B96" s="393" t="s">
        <v>1374</v>
      </c>
      <c r="C96" s="393" t="s">
        <v>1108</v>
      </c>
      <c r="D96" s="393" t="s">
        <v>1375</v>
      </c>
      <c r="E96" s="393" t="s">
        <v>1376</v>
      </c>
      <c r="F96" s="393" t="str">
        <f t="shared" si="2"/>
        <v>288</v>
      </c>
      <c r="G96" s="393">
        <f t="shared" si="3"/>
        <v>288</v>
      </c>
      <c r="H96" s="394" t="s">
        <v>1377</v>
      </c>
    </row>
    <row r="97" spans="1:8" s="394" customFormat="1">
      <c r="A97" s="394" t="s">
        <v>1378</v>
      </c>
      <c r="B97" s="393" t="s">
        <v>275</v>
      </c>
      <c r="C97" s="393" t="s">
        <v>1097</v>
      </c>
      <c r="D97" s="393" t="s">
        <v>1098</v>
      </c>
      <c r="E97" s="393" t="s">
        <v>1379</v>
      </c>
      <c r="F97" s="393" t="str">
        <f t="shared" si="2"/>
        <v>295</v>
      </c>
      <c r="G97" s="393">
        <f t="shared" si="3"/>
        <v>295</v>
      </c>
      <c r="H97" s="394" t="s">
        <v>1380</v>
      </c>
    </row>
    <row r="98" spans="1:8" s="394" customFormat="1">
      <c r="A98" s="394" t="s">
        <v>1381</v>
      </c>
      <c r="B98" s="393" t="s">
        <v>1382</v>
      </c>
      <c r="C98" s="393" t="s">
        <v>1102</v>
      </c>
      <c r="D98" s="393" t="s">
        <v>1103</v>
      </c>
      <c r="E98" s="393" t="s">
        <v>1383</v>
      </c>
      <c r="F98" s="393" t="str">
        <f t="shared" si="2"/>
        <v>292</v>
      </c>
      <c r="G98" s="393">
        <f t="shared" si="3"/>
        <v>292</v>
      </c>
      <c r="H98" s="394" t="s">
        <v>1229</v>
      </c>
    </row>
    <row r="99" spans="1:8" s="394" customFormat="1">
      <c r="A99" s="394" t="s">
        <v>1384</v>
      </c>
      <c r="B99" s="393" t="s">
        <v>1277</v>
      </c>
      <c r="C99" s="393" t="s">
        <v>1108</v>
      </c>
      <c r="D99" s="393" t="s">
        <v>1109</v>
      </c>
      <c r="E99" s="393" t="s">
        <v>1385</v>
      </c>
      <c r="F99" s="393" t="str">
        <f t="shared" si="2"/>
        <v>300</v>
      </c>
      <c r="G99" s="393">
        <f t="shared" si="3"/>
        <v>300</v>
      </c>
      <c r="H99" s="394" t="s">
        <v>1386</v>
      </c>
    </row>
    <row r="100" spans="1:8" s="394" customFormat="1">
      <c r="A100" s="394" t="s">
        <v>1387</v>
      </c>
      <c r="B100" s="393" t="s">
        <v>1388</v>
      </c>
      <c r="C100" s="393" t="s">
        <v>1097</v>
      </c>
      <c r="D100" s="393" t="s">
        <v>1098</v>
      </c>
      <c r="E100" s="393" t="s">
        <v>1389</v>
      </c>
      <c r="F100" s="393" t="str">
        <f t="shared" si="2"/>
        <v>211</v>
      </c>
      <c r="G100" s="393">
        <f t="shared" si="3"/>
        <v>211</v>
      </c>
      <c r="H100" s="394" t="s">
        <v>1155</v>
      </c>
    </row>
    <row r="101" spans="1:8" s="394" customFormat="1">
      <c r="A101" s="394" t="s">
        <v>1390</v>
      </c>
      <c r="B101" s="393" t="s">
        <v>1382</v>
      </c>
      <c r="C101" s="393" t="s">
        <v>1108</v>
      </c>
      <c r="D101" s="393" t="s">
        <v>1153</v>
      </c>
      <c r="E101" s="393" t="s">
        <v>1391</v>
      </c>
      <c r="F101" s="393" t="str">
        <f t="shared" si="2"/>
        <v>284</v>
      </c>
      <c r="G101" s="393">
        <f t="shared" si="3"/>
        <v>284</v>
      </c>
      <c r="H101" s="394" t="s">
        <v>1392</v>
      </c>
    </row>
    <row r="102" spans="1:8" s="394" customFormat="1">
      <c r="A102" s="394" t="s">
        <v>1393</v>
      </c>
      <c r="B102" s="393" t="s">
        <v>1142</v>
      </c>
      <c r="C102" s="393" t="s">
        <v>1108</v>
      </c>
      <c r="D102" s="393" t="s">
        <v>1153</v>
      </c>
      <c r="E102" s="393" t="s">
        <v>1394</v>
      </c>
      <c r="F102" s="393" t="str">
        <f t="shared" si="2"/>
        <v>178</v>
      </c>
      <c r="G102" s="393">
        <f t="shared" si="3"/>
        <v>178</v>
      </c>
      <c r="H102" s="394" t="s">
        <v>1395</v>
      </c>
    </row>
    <row r="103" spans="1:8" s="394" customFormat="1">
      <c r="A103" s="394" t="s">
        <v>1396</v>
      </c>
      <c r="B103" s="393" t="s">
        <v>1277</v>
      </c>
      <c r="C103" s="393" t="s">
        <v>1108</v>
      </c>
      <c r="D103" s="393" t="s">
        <v>1153</v>
      </c>
      <c r="E103" s="393" t="s">
        <v>1397</v>
      </c>
      <c r="F103" s="393" t="str">
        <f t="shared" si="2"/>
        <v>310</v>
      </c>
      <c r="G103" s="393">
        <f t="shared" si="3"/>
        <v>310</v>
      </c>
      <c r="H103" s="394" t="s">
        <v>1398</v>
      </c>
    </row>
    <row r="104" spans="1:8" s="394" customFormat="1">
      <c r="A104" s="394" t="s">
        <v>1399</v>
      </c>
      <c r="B104" s="393" t="s">
        <v>1382</v>
      </c>
      <c r="C104" s="393" t="s">
        <v>1091</v>
      </c>
      <c r="D104" s="393" t="s">
        <v>1092</v>
      </c>
      <c r="E104" s="393" t="s">
        <v>1400</v>
      </c>
      <c r="F104" s="393" t="str">
        <f t="shared" si="2"/>
        <v>326</v>
      </c>
      <c r="G104" s="393">
        <f t="shared" si="3"/>
        <v>326</v>
      </c>
      <c r="H104" s="398" t="s">
        <v>1695</v>
      </c>
    </row>
    <row r="105" spans="1:8" s="394" customFormat="1">
      <c r="B105" s="393"/>
      <c r="C105" s="393"/>
      <c r="D105" s="393"/>
      <c r="E105" s="393"/>
      <c r="F105" s="393"/>
    </row>
    <row r="106" spans="1:8" s="394" customFormat="1">
      <c r="A106" s="399" t="s">
        <v>1403</v>
      </c>
      <c r="B106" s="393"/>
      <c r="C106" s="393"/>
      <c r="D106" s="393"/>
      <c r="E106" s="393"/>
      <c r="F106" s="393"/>
    </row>
    <row r="107" spans="1:8">
      <c r="B107" s="243"/>
      <c r="C107" s="243"/>
      <c r="D107" s="243"/>
      <c r="E107" s="243"/>
      <c r="F107" s="243"/>
    </row>
    <row r="108" spans="1:8">
      <c r="B108" s="243"/>
      <c r="C108" s="243"/>
      <c r="D108" s="243"/>
      <c r="E108" s="243"/>
      <c r="F108" s="243"/>
    </row>
  </sheetData>
  <hyperlinks>
    <hyperlink ref="A106" r:id="rId1"/>
  </hyperlink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H108"/>
  <sheetViews>
    <sheetView showGridLines="0" workbookViewId="0">
      <selection activeCell="F4" sqref="F4"/>
    </sheetView>
  </sheetViews>
  <sheetFormatPr defaultRowHeight="15.75"/>
  <cols>
    <col min="1" max="1" width="22.28515625" style="142" customWidth="1"/>
    <col min="2" max="2" width="5" style="142" bestFit="1" customWidth="1"/>
    <col min="3" max="3" width="3.7109375" style="142" bestFit="1" customWidth="1"/>
    <col min="4" max="4" width="5" style="142" bestFit="1" customWidth="1"/>
    <col min="5" max="5" width="9.42578125" style="142" bestFit="1" customWidth="1"/>
    <col min="6" max="6" width="43.140625" style="142" bestFit="1" customWidth="1"/>
    <col min="7" max="7" width="5.140625" style="142" bestFit="1" customWidth="1"/>
    <col min="8" max="8" width="6.140625" style="142" bestFit="1" customWidth="1"/>
    <col min="9" max="16384" width="9.140625" style="142"/>
  </cols>
  <sheetData>
    <row r="1" spans="1:8" ht="23.25">
      <c r="A1" s="33" t="s">
        <v>1694</v>
      </c>
      <c r="E1" s="638" t="s">
        <v>2056</v>
      </c>
    </row>
    <row r="4" spans="1:8" s="394" customFormat="1">
      <c r="A4" s="392" t="s">
        <v>1402</v>
      </c>
      <c r="B4" s="393"/>
      <c r="C4" s="393"/>
      <c r="D4" s="393"/>
      <c r="E4" s="393"/>
      <c r="G4" s="393"/>
      <c r="H4" s="393"/>
    </row>
    <row r="5" spans="1:8" s="394" customFormat="1" ht="16.5" thickBot="1">
      <c r="A5" s="395" t="s">
        <v>177</v>
      </c>
      <c r="B5" s="396" t="s">
        <v>1084</v>
      </c>
      <c r="C5" s="396" t="s">
        <v>1085</v>
      </c>
      <c r="D5" s="396" t="s">
        <v>1086</v>
      </c>
      <c r="E5" s="396" t="s">
        <v>1087</v>
      </c>
      <c r="F5" s="395" t="s">
        <v>1088</v>
      </c>
      <c r="G5" s="396" t="s">
        <v>1660</v>
      </c>
      <c r="H5" s="396" t="s">
        <v>176</v>
      </c>
    </row>
    <row r="6" spans="1:8" s="394" customFormat="1">
      <c r="A6" s="394" t="s">
        <v>1089</v>
      </c>
      <c r="B6" s="393" t="s">
        <v>1090</v>
      </c>
      <c r="C6" s="393" t="s">
        <v>1091</v>
      </c>
      <c r="D6" s="393" t="s">
        <v>1092</v>
      </c>
      <c r="E6" s="393" t="s">
        <v>1093</v>
      </c>
      <c r="F6" s="394" t="s">
        <v>1094</v>
      </c>
      <c r="G6" s="393">
        <f>FIND(",",F6)</f>
        <v>8</v>
      </c>
      <c r="H6" s="397" t="str">
        <f>MID(F6,G6+2,2)</f>
        <v>TN</v>
      </c>
    </row>
    <row r="7" spans="1:8" s="394" customFormat="1">
      <c r="A7" s="394" t="s">
        <v>1095</v>
      </c>
      <c r="B7" s="393" t="s">
        <v>1096</v>
      </c>
      <c r="C7" s="393" t="s">
        <v>1097</v>
      </c>
      <c r="D7" s="393" t="s">
        <v>1098</v>
      </c>
      <c r="E7" s="393" t="s">
        <v>1099</v>
      </c>
      <c r="F7" s="394" t="s">
        <v>1100</v>
      </c>
      <c r="G7" s="393">
        <f t="shared" ref="G7:G70" si="0">FIND(",",F7)</f>
        <v>8</v>
      </c>
      <c r="H7" s="397" t="str">
        <f t="shared" ref="H7:H70" si="1">MID(F7,G7+2,2)</f>
        <v>GA</v>
      </c>
    </row>
    <row r="8" spans="1:8" s="394" customFormat="1">
      <c r="A8" s="394" t="s">
        <v>1101</v>
      </c>
      <c r="B8" s="393" t="s">
        <v>1096</v>
      </c>
      <c r="C8" s="393" t="s">
        <v>1102</v>
      </c>
      <c r="D8" s="393" t="s">
        <v>1103</v>
      </c>
      <c r="E8" s="393" t="s">
        <v>1104</v>
      </c>
      <c r="F8" s="394" t="s">
        <v>1105</v>
      </c>
      <c r="G8" s="393">
        <f t="shared" si="0"/>
        <v>13</v>
      </c>
      <c r="H8" s="397" t="str">
        <f t="shared" si="1"/>
        <v>GA</v>
      </c>
    </row>
    <row r="9" spans="1:8" s="394" customFormat="1">
      <c r="A9" s="394" t="s">
        <v>1106</v>
      </c>
      <c r="B9" s="393" t="s">
        <v>1107</v>
      </c>
      <c r="C9" s="393" t="s">
        <v>1108</v>
      </c>
      <c r="D9" s="393" t="s">
        <v>1109</v>
      </c>
      <c r="E9" s="393" t="s">
        <v>1110</v>
      </c>
      <c r="F9" s="394" t="s">
        <v>1111</v>
      </c>
      <c r="G9" s="393">
        <f t="shared" si="0"/>
        <v>13</v>
      </c>
      <c r="H9" s="397" t="str">
        <f t="shared" si="1"/>
        <v>FL</v>
      </c>
    </row>
    <row r="10" spans="1:8" s="394" customFormat="1">
      <c r="A10" s="394" t="s">
        <v>1112</v>
      </c>
      <c r="B10" s="393" t="s">
        <v>1113</v>
      </c>
      <c r="C10" s="393" t="s">
        <v>1102</v>
      </c>
      <c r="D10" s="393" t="s">
        <v>1103</v>
      </c>
      <c r="E10" s="393" t="s">
        <v>1114</v>
      </c>
      <c r="F10" s="394" t="s">
        <v>1115</v>
      </c>
      <c r="G10" s="393">
        <f t="shared" si="0"/>
        <v>9</v>
      </c>
      <c r="H10" s="397" t="str">
        <f t="shared" si="1"/>
        <v>GA</v>
      </c>
    </row>
    <row r="11" spans="1:8" s="394" customFormat="1">
      <c r="A11" s="394" t="s">
        <v>1116</v>
      </c>
      <c r="B11" s="393" t="s">
        <v>1117</v>
      </c>
      <c r="C11" s="393" t="s">
        <v>1091</v>
      </c>
      <c r="D11" s="393" t="s">
        <v>1092</v>
      </c>
      <c r="E11" s="393" t="s">
        <v>1118</v>
      </c>
      <c r="F11" s="394" t="s">
        <v>1119</v>
      </c>
      <c r="G11" s="393">
        <f t="shared" si="0"/>
        <v>13</v>
      </c>
      <c r="H11" s="397" t="str">
        <f t="shared" si="1"/>
        <v>GA</v>
      </c>
    </row>
    <row r="12" spans="1:8" s="394" customFormat="1">
      <c r="A12" s="394" t="s">
        <v>1120</v>
      </c>
      <c r="B12" s="393" t="s">
        <v>1117</v>
      </c>
      <c r="C12" s="393" t="s">
        <v>1102</v>
      </c>
      <c r="D12" s="393" t="s">
        <v>1103</v>
      </c>
      <c r="E12" s="393" t="s">
        <v>1121</v>
      </c>
      <c r="F12" s="394" t="s">
        <v>1122</v>
      </c>
      <c r="G12" s="393">
        <f t="shared" si="0"/>
        <v>9</v>
      </c>
      <c r="H12" s="397" t="str">
        <f t="shared" si="1"/>
        <v>MO</v>
      </c>
    </row>
    <row r="13" spans="1:8" s="394" customFormat="1">
      <c r="A13" s="394" t="s">
        <v>1123</v>
      </c>
      <c r="B13" s="393" t="s">
        <v>1124</v>
      </c>
      <c r="C13" s="393" t="s">
        <v>1097</v>
      </c>
      <c r="D13" s="393" t="s">
        <v>1098</v>
      </c>
      <c r="E13" s="393" t="s">
        <v>1125</v>
      </c>
      <c r="F13" s="394" t="s">
        <v>1126</v>
      </c>
      <c r="G13" s="393">
        <f t="shared" si="0"/>
        <v>6</v>
      </c>
      <c r="H13" s="397" t="str">
        <f t="shared" si="1"/>
        <v>FL</v>
      </c>
    </row>
    <row r="14" spans="1:8" s="394" customFormat="1">
      <c r="A14" s="394" t="s">
        <v>1127</v>
      </c>
      <c r="B14" s="393" t="s">
        <v>1128</v>
      </c>
      <c r="C14" s="393" t="s">
        <v>1102</v>
      </c>
      <c r="D14" s="393" t="s">
        <v>1103</v>
      </c>
      <c r="E14" s="393" t="s">
        <v>1129</v>
      </c>
      <c r="F14" s="394" t="s">
        <v>1130</v>
      </c>
      <c r="G14" s="393">
        <f t="shared" si="0"/>
        <v>12</v>
      </c>
      <c r="H14" s="397" t="str">
        <f t="shared" si="1"/>
        <v>SC</v>
      </c>
    </row>
    <row r="15" spans="1:8" s="394" customFormat="1">
      <c r="A15" s="394" t="s">
        <v>1131</v>
      </c>
      <c r="B15" s="393" t="s">
        <v>1107</v>
      </c>
      <c r="C15" s="393" t="s">
        <v>1108</v>
      </c>
      <c r="D15" s="393" t="s">
        <v>1109</v>
      </c>
      <c r="E15" s="393" t="s">
        <v>1132</v>
      </c>
      <c r="F15" s="394" t="s">
        <v>1100</v>
      </c>
      <c r="G15" s="393">
        <f t="shared" si="0"/>
        <v>8</v>
      </c>
      <c r="H15" s="397" t="str">
        <f t="shared" si="1"/>
        <v>GA</v>
      </c>
    </row>
    <row r="16" spans="1:8" s="394" customFormat="1">
      <c r="A16" s="394" t="s">
        <v>1133</v>
      </c>
      <c r="B16" s="393" t="s">
        <v>1096</v>
      </c>
      <c r="C16" s="393" t="s">
        <v>1091</v>
      </c>
      <c r="D16" s="393" t="s">
        <v>1092</v>
      </c>
      <c r="E16" s="393" t="s">
        <v>1134</v>
      </c>
      <c r="F16" s="394" t="s">
        <v>1135</v>
      </c>
      <c r="G16" s="393">
        <f t="shared" si="0"/>
        <v>11</v>
      </c>
      <c r="H16" s="397" t="str">
        <f t="shared" si="1"/>
        <v>VA</v>
      </c>
    </row>
    <row r="17" spans="1:8" s="394" customFormat="1">
      <c r="A17" s="394" t="s">
        <v>1136</v>
      </c>
      <c r="B17" s="393" t="s">
        <v>1117</v>
      </c>
      <c r="C17" s="393" t="s">
        <v>1091</v>
      </c>
      <c r="D17" s="393" t="s">
        <v>1092</v>
      </c>
      <c r="E17" s="393" t="s">
        <v>1137</v>
      </c>
      <c r="F17" s="394" t="s">
        <v>1126</v>
      </c>
      <c r="G17" s="393">
        <f t="shared" si="0"/>
        <v>6</v>
      </c>
      <c r="H17" s="397" t="str">
        <f t="shared" si="1"/>
        <v>FL</v>
      </c>
    </row>
    <row r="18" spans="1:8" s="394" customFormat="1">
      <c r="A18" s="394" t="s">
        <v>1138</v>
      </c>
      <c r="B18" s="393" t="s">
        <v>1128</v>
      </c>
      <c r="C18" s="393" t="s">
        <v>1097</v>
      </c>
      <c r="D18" s="393" t="s">
        <v>1098</v>
      </c>
      <c r="E18" s="393" t="s">
        <v>1139</v>
      </c>
      <c r="F18" s="394" t="s">
        <v>1140</v>
      </c>
      <c r="G18" s="393">
        <f t="shared" si="0"/>
        <v>11</v>
      </c>
      <c r="H18" s="397" t="str">
        <f t="shared" si="1"/>
        <v>GA</v>
      </c>
    </row>
    <row r="19" spans="1:8" s="394" customFormat="1">
      <c r="A19" s="394" t="s">
        <v>1141</v>
      </c>
      <c r="B19" s="393" t="s">
        <v>1142</v>
      </c>
      <c r="C19" s="393" t="s">
        <v>1102</v>
      </c>
      <c r="D19" s="393" t="s">
        <v>1103</v>
      </c>
      <c r="E19" s="393" t="s">
        <v>1143</v>
      </c>
      <c r="F19" s="394" t="s">
        <v>1144</v>
      </c>
      <c r="G19" s="393">
        <f t="shared" si="0"/>
        <v>7</v>
      </c>
      <c r="H19" s="397" t="str">
        <f t="shared" si="1"/>
        <v>GA</v>
      </c>
    </row>
    <row r="20" spans="1:8" s="394" customFormat="1">
      <c r="A20" s="394" t="s">
        <v>1145</v>
      </c>
      <c r="B20" s="393" t="s">
        <v>1128</v>
      </c>
      <c r="C20" s="393" t="s">
        <v>1097</v>
      </c>
      <c r="D20" s="393" t="s">
        <v>1098</v>
      </c>
      <c r="E20" s="393" t="s">
        <v>1146</v>
      </c>
      <c r="F20" s="394" t="s">
        <v>1147</v>
      </c>
      <c r="G20" s="393">
        <f t="shared" si="0"/>
        <v>7</v>
      </c>
      <c r="H20" s="397" t="str">
        <f t="shared" si="1"/>
        <v>GA</v>
      </c>
    </row>
    <row r="21" spans="1:8" s="394" customFormat="1">
      <c r="A21" s="394" t="s">
        <v>1148</v>
      </c>
      <c r="B21" s="393" t="s">
        <v>1128</v>
      </c>
      <c r="C21" s="393" t="s">
        <v>1091</v>
      </c>
      <c r="D21" s="393" t="s">
        <v>1149</v>
      </c>
      <c r="E21" s="393" t="s">
        <v>1150</v>
      </c>
      <c r="F21" s="394" t="s">
        <v>1151</v>
      </c>
      <c r="G21" s="393">
        <f t="shared" si="0"/>
        <v>8</v>
      </c>
      <c r="H21" s="397" t="str">
        <f t="shared" si="1"/>
        <v>TN</v>
      </c>
    </row>
    <row r="22" spans="1:8" s="394" customFormat="1">
      <c r="A22" s="394" t="s">
        <v>1152</v>
      </c>
      <c r="B22" s="393" t="s">
        <v>1128</v>
      </c>
      <c r="C22" s="393" t="s">
        <v>1108</v>
      </c>
      <c r="D22" s="393" t="s">
        <v>1153</v>
      </c>
      <c r="E22" s="393" t="s">
        <v>1154</v>
      </c>
      <c r="F22" s="394" t="s">
        <v>1155</v>
      </c>
      <c r="G22" s="393">
        <f t="shared" si="0"/>
        <v>8</v>
      </c>
      <c r="H22" s="397" t="str">
        <f t="shared" si="1"/>
        <v>GA</v>
      </c>
    </row>
    <row r="23" spans="1:8" s="394" customFormat="1">
      <c r="A23" s="394" t="s">
        <v>1156</v>
      </c>
      <c r="B23" s="393" t="s">
        <v>1107</v>
      </c>
      <c r="C23" s="393" t="s">
        <v>1108</v>
      </c>
      <c r="D23" s="393" t="s">
        <v>1098</v>
      </c>
      <c r="E23" s="393" t="s">
        <v>1132</v>
      </c>
      <c r="F23" s="394" t="s">
        <v>1157</v>
      </c>
      <c r="G23" s="393">
        <f t="shared" si="0"/>
        <v>6</v>
      </c>
      <c r="H23" s="397" t="str">
        <f t="shared" si="1"/>
        <v>(P</v>
      </c>
    </row>
    <row r="24" spans="1:8" s="394" customFormat="1">
      <c r="A24" s="394" t="s">
        <v>1158</v>
      </c>
      <c r="B24" s="393" t="s">
        <v>1128</v>
      </c>
      <c r="C24" s="393" t="s">
        <v>1097</v>
      </c>
      <c r="D24" s="393" t="s">
        <v>1098</v>
      </c>
      <c r="E24" s="393" t="s">
        <v>1159</v>
      </c>
      <c r="F24" s="394" t="s">
        <v>1160</v>
      </c>
      <c r="G24" s="393">
        <f t="shared" si="0"/>
        <v>13</v>
      </c>
      <c r="H24" s="397" t="str">
        <f t="shared" si="1"/>
        <v>FL</v>
      </c>
    </row>
    <row r="25" spans="1:8" s="394" customFormat="1">
      <c r="A25" s="394" t="s">
        <v>1161</v>
      </c>
      <c r="B25" s="393" t="s">
        <v>1107</v>
      </c>
      <c r="C25" s="393" t="s">
        <v>1097</v>
      </c>
      <c r="D25" s="393" t="s">
        <v>1098</v>
      </c>
      <c r="E25" s="393" t="s">
        <v>1162</v>
      </c>
      <c r="F25" s="394" t="s">
        <v>1163</v>
      </c>
      <c r="G25" s="393">
        <f t="shared" si="0"/>
        <v>14</v>
      </c>
      <c r="H25" s="397" t="str">
        <f t="shared" si="1"/>
        <v>GA</v>
      </c>
    </row>
    <row r="26" spans="1:8" s="394" customFormat="1">
      <c r="A26" s="394" t="s">
        <v>1164</v>
      </c>
      <c r="B26" s="393" t="s">
        <v>1096</v>
      </c>
      <c r="C26" s="393" t="s">
        <v>1097</v>
      </c>
      <c r="D26" s="393" t="s">
        <v>1098</v>
      </c>
      <c r="E26" s="393" t="s">
        <v>1165</v>
      </c>
      <c r="F26" s="394" t="s">
        <v>1166</v>
      </c>
      <c r="G26" s="393">
        <f t="shared" si="0"/>
        <v>8</v>
      </c>
      <c r="H26" s="397" t="str">
        <f t="shared" si="1"/>
        <v>GA</v>
      </c>
    </row>
    <row r="27" spans="1:8" s="394" customFormat="1">
      <c r="A27" s="394" t="s">
        <v>1167</v>
      </c>
      <c r="B27" s="393" t="s">
        <v>1168</v>
      </c>
      <c r="C27" s="393" t="s">
        <v>1102</v>
      </c>
      <c r="D27" s="393" t="s">
        <v>1103</v>
      </c>
      <c r="E27" s="393" t="s">
        <v>1169</v>
      </c>
      <c r="F27" s="394" t="s">
        <v>1170</v>
      </c>
      <c r="G27" s="393">
        <f t="shared" si="0"/>
        <v>13</v>
      </c>
      <c r="H27" s="397" t="str">
        <f t="shared" si="1"/>
        <v>GA</v>
      </c>
    </row>
    <row r="28" spans="1:8" s="394" customFormat="1">
      <c r="A28" s="394" t="s">
        <v>1171</v>
      </c>
      <c r="B28" s="393" t="s">
        <v>1096</v>
      </c>
      <c r="C28" s="393" t="s">
        <v>1108</v>
      </c>
      <c r="D28" s="393" t="s">
        <v>1109</v>
      </c>
      <c r="E28" s="393" t="s">
        <v>1172</v>
      </c>
      <c r="F28" s="394" t="s">
        <v>1173</v>
      </c>
      <c r="G28" s="393">
        <f t="shared" si="0"/>
        <v>7</v>
      </c>
      <c r="H28" s="397" t="str">
        <f t="shared" si="1"/>
        <v>SC</v>
      </c>
    </row>
    <row r="29" spans="1:8" s="394" customFormat="1">
      <c r="A29" s="394" t="s">
        <v>1174</v>
      </c>
      <c r="B29" s="393" t="s">
        <v>1107</v>
      </c>
      <c r="C29" s="393" t="s">
        <v>1102</v>
      </c>
      <c r="D29" s="393" t="s">
        <v>1175</v>
      </c>
      <c r="E29" s="393" t="s">
        <v>1176</v>
      </c>
      <c r="F29" s="394" t="s">
        <v>1177</v>
      </c>
      <c r="G29" s="393">
        <f t="shared" si="0"/>
        <v>10</v>
      </c>
      <c r="H29" s="397" t="str">
        <f t="shared" si="1"/>
        <v>SC</v>
      </c>
    </row>
    <row r="30" spans="1:8" s="394" customFormat="1">
      <c r="A30" s="394" t="s">
        <v>1178</v>
      </c>
      <c r="B30" s="393" t="s">
        <v>1179</v>
      </c>
      <c r="C30" s="393" t="s">
        <v>1097</v>
      </c>
      <c r="D30" s="393" t="s">
        <v>1098</v>
      </c>
      <c r="E30" s="393" t="s">
        <v>1114</v>
      </c>
      <c r="F30" s="394" t="s">
        <v>1180</v>
      </c>
      <c r="G30" s="393">
        <f t="shared" si="0"/>
        <v>10</v>
      </c>
      <c r="H30" s="397" t="str">
        <f t="shared" si="1"/>
        <v>GA</v>
      </c>
    </row>
    <row r="31" spans="1:8" s="394" customFormat="1">
      <c r="A31" s="394" t="s">
        <v>1181</v>
      </c>
      <c r="B31" s="393" t="s">
        <v>1096</v>
      </c>
      <c r="C31" s="393" t="s">
        <v>1108</v>
      </c>
      <c r="D31" s="393" t="s">
        <v>1153</v>
      </c>
      <c r="E31" s="393" t="s">
        <v>1182</v>
      </c>
      <c r="F31" s="394" t="s">
        <v>1183</v>
      </c>
      <c r="G31" s="393">
        <f t="shared" si="0"/>
        <v>9</v>
      </c>
      <c r="H31" s="397" t="str">
        <f t="shared" si="1"/>
        <v>GA</v>
      </c>
    </row>
    <row r="32" spans="1:8" s="394" customFormat="1">
      <c r="A32" s="394" t="s">
        <v>1184</v>
      </c>
      <c r="B32" s="393" t="s">
        <v>1113</v>
      </c>
      <c r="C32" s="393" t="s">
        <v>1097</v>
      </c>
      <c r="D32" s="393" t="s">
        <v>1098</v>
      </c>
      <c r="E32" s="393" t="s">
        <v>1185</v>
      </c>
      <c r="F32" s="394" t="s">
        <v>1186</v>
      </c>
      <c r="G32" s="393">
        <f t="shared" si="0"/>
        <v>9</v>
      </c>
      <c r="H32" s="397" t="str">
        <f t="shared" si="1"/>
        <v>GA</v>
      </c>
    </row>
    <row r="33" spans="1:8" s="394" customFormat="1">
      <c r="A33" s="394" t="s">
        <v>1187</v>
      </c>
      <c r="B33" s="393" t="s">
        <v>1128</v>
      </c>
      <c r="C33" s="393" t="s">
        <v>1102</v>
      </c>
      <c r="D33" s="393" t="s">
        <v>1103</v>
      </c>
      <c r="E33" s="393" t="s">
        <v>1188</v>
      </c>
      <c r="F33" s="394" t="s">
        <v>1189</v>
      </c>
      <c r="G33" s="393">
        <f t="shared" si="0"/>
        <v>7</v>
      </c>
      <c r="H33" s="397" t="str">
        <f t="shared" si="1"/>
        <v>GA</v>
      </c>
    </row>
    <row r="34" spans="1:8" s="394" customFormat="1">
      <c r="A34" s="394" t="s">
        <v>1190</v>
      </c>
      <c r="B34" s="393" t="s">
        <v>1107</v>
      </c>
      <c r="C34" s="393" t="s">
        <v>1097</v>
      </c>
      <c r="D34" s="393" t="s">
        <v>1098</v>
      </c>
      <c r="E34" s="393" t="s">
        <v>1191</v>
      </c>
      <c r="F34" s="394" t="s">
        <v>1192</v>
      </c>
      <c r="G34" s="393">
        <f t="shared" si="0"/>
        <v>10</v>
      </c>
      <c r="H34" s="397" t="str">
        <f t="shared" si="1"/>
        <v>NC</v>
      </c>
    </row>
    <row r="35" spans="1:8" s="394" customFormat="1">
      <c r="A35" s="394" t="s">
        <v>1193</v>
      </c>
      <c r="B35" s="393" t="s">
        <v>1096</v>
      </c>
      <c r="C35" s="393" t="s">
        <v>1102</v>
      </c>
      <c r="D35" s="393" t="s">
        <v>1103</v>
      </c>
      <c r="E35" s="393" t="s">
        <v>1194</v>
      </c>
      <c r="F35" s="394" t="s">
        <v>1195</v>
      </c>
      <c r="G35" s="393">
        <f t="shared" si="0"/>
        <v>9</v>
      </c>
      <c r="H35" s="397" t="str">
        <f t="shared" si="1"/>
        <v>GA</v>
      </c>
    </row>
    <row r="36" spans="1:8" s="394" customFormat="1">
      <c r="A36" s="394" t="s">
        <v>1196</v>
      </c>
      <c r="B36" s="393" t="s">
        <v>1113</v>
      </c>
      <c r="C36" s="393" t="s">
        <v>1097</v>
      </c>
      <c r="D36" s="393" t="s">
        <v>1098</v>
      </c>
      <c r="E36" s="393" t="s">
        <v>1197</v>
      </c>
      <c r="F36" s="394" t="s">
        <v>1198</v>
      </c>
      <c r="G36" s="393">
        <f t="shared" si="0"/>
        <v>11</v>
      </c>
      <c r="H36" s="397" t="str">
        <f t="shared" si="1"/>
        <v>FL</v>
      </c>
    </row>
    <row r="37" spans="1:8" s="394" customFormat="1">
      <c r="A37" s="394" t="s">
        <v>1199</v>
      </c>
      <c r="B37" s="393" t="s">
        <v>1107</v>
      </c>
      <c r="C37" s="393" t="s">
        <v>1108</v>
      </c>
      <c r="D37" s="393" t="s">
        <v>1153</v>
      </c>
      <c r="E37" s="393" t="s">
        <v>1165</v>
      </c>
      <c r="F37" s="394" t="s">
        <v>1200</v>
      </c>
      <c r="G37" s="393">
        <f t="shared" si="0"/>
        <v>14</v>
      </c>
      <c r="H37" s="397" t="str">
        <f t="shared" si="1"/>
        <v>GA</v>
      </c>
    </row>
    <row r="38" spans="1:8" s="394" customFormat="1">
      <c r="A38" s="394" t="s">
        <v>1201</v>
      </c>
      <c r="B38" s="393" t="s">
        <v>1202</v>
      </c>
      <c r="C38" s="393" t="s">
        <v>1102</v>
      </c>
      <c r="D38" s="393" t="s">
        <v>1103</v>
      </c>
      <c r="E38" s="393" t="s">
        <v>1203</v>
      </c>
      <c r="F38" s="394" t="s">
        <v>1204</v>
      </c>
      <c r="G38" s="393">
        <f t="shared" si="0"/>
        <v>10</v>
      </c>
      <c r="H38" s="397" t="str">
        <f t="shared" si="1"/>
        <v>CA</v>
      </c>
    </row>
    <row r="39" spans="1:8" s="394" customFormat="1">
      <c r="A39" s="394" t="s">
        <v>1205</v>
      </c>
      <c r="B39" s="393" t="s">
        <v>1113</v>
      </c>
      <c r="C39" s="393" t="s">
        <v>1108</v>
      </c>
      <c r="D39" s="393" t="s">
        <v>1153</v>
      </c>
      <c r="E39" s="393" t="s">
        <v>1206</v>
      </c>
      <c r="F39" s="394" t="s">
        <v>1207</v>
      </c>
      <c r="G39" s="393">
        <f t="shared" si="0"/>
        <v>8</v>
      </c>
      <c r="H39" s="397" t="str">
        <f t="shared" si="1"/>
        <v>GA</v>
      </c>
    </row>
    <row r="40" spans="1:8" s="394" customFormat="1">
      <c r="A40" s="394" t="s">
        <v>1208</v>
      </c>
      <c r="B40" s="393" t="s">
        <v>1209</v>
      </c>
      <c r="C40" s="393" t="s">
        <v>1091</v>
      </c>
      <c r="D40" s="393" t="s">
        <v>1092</v>
      </c>
      <c r="E40" s="393" t="s">
        <v>1210</v>
      </c>
      <c r="F40" s="394" t="s">
        <v>1211</v>
      </c>
      <c r="G40" s="393">
        <f t="shared" si="0"/>
        <v>12</v>
      </c>
      <c r="H40" s="397" t="str">
        <f t="shared" si="1"/>
        <v>GA</v>
      </c>
    </row>
    <row r="41" spans="1:8" s="394" customFormat="1">
      <c r="A41" s="394" t="s">
        <v>1212</v>
      </c>
      <c r="B41" s="393" t="s">
        <v>1209</v>
      </c>
      <c r="C41" s="393" t="s">
        <v>1108</v>
      </c>
      <c r="D41" s="393" t="s">
        <v>1109</v>
      </c>
      <c r="E41" s="393" t="s">
        <v>1213</v>
      </c>
      <c r="F41" s="394" t="s">
        <v>1214</v>
      </c>
      <c r="G41" s="393">
        <f t="shared" si="0"/>
        <v>11</v>
      </c>
      <c r="H41" s="397" t="str">
        <f t="shared" si="1"/>
        <v>GA</v>
      </c>
    </row>
    <row r="42" spans="1:8" s="394" customFormat="1">
      <c r="A42" s="394" t="s">
        <v>1215</v>
      </c>
      <c r="B42" s="393" t="s">
        <v>1107</v>
      </c>
      <c r="C42" s="393" t="s">
        <v>1091</v>
      </c>
      <c r="D42" s="393" t="s">
        <v>1092</v>
      </c>
      <c r="E42" s="393" t="s">
        <v>1216</v>
      </c>
      <c r="F42" s="394" t="s">
        <v>1217</v>
      </c>
      <c r="G42" s="393">
        <f t="shared" si="0"/>
        <v>8</v>
      </c>
      <c r="H42" s="397" t="str">
        <f t="shared" si="1"/>
        <v>GA</v>
      </c>
    </row>
    <row r="43" spans="1:8" s="394" customFormat="1">
      <c r="A43" s="394" t="s">
        <v>1218</v>
      </c>
      <c r="B43" s="393" t="s">
        <v>1209</v>
      </c>
      <c r="C43" s="393" t="s">
        <v>1108</v>
      </c>
      <c r="D43" s="393" t="s">
        <v>1153</v>
      </c>
      <c r="E43" s="393" t="s">
        <v>1219</v>
      </c>
      <c r="F43" s="394" t="s">
        <v>1220</v>
      </c>
      <c r="G43" s="393">
        <f t="shared" si="0"/>
        <v>13</v>
      </c>
      <c r="H43" s="397" t="str">
        <f t="shared" si="1"/>
        <v>MD</v>
      </c>
    </row>
    <row r="44" spans="1:8" s="394" customFormat="1">
      <c r="A44" s="394" t="s">
        <v>1221</v>
      </c>
      <c r="B44" s="393" t="s">
        <v>1222</v>
      </c>
      <c r="C44" s="393" t="s">
        <v>1102</v>
      </c>
      <c r="D44" s="393" t="s">
        <v>1103</v>
      </c>
      <c r="E44" s="393" t="s">
        <v>1223</v>
      </c>
      <c r="F44" s="394" t="s">
        <v>1224</v>
      </c>
      <c r="G44" s="393">
        <f t="shared" si="0"/>
        <v>15</v>
      </c>
      <c r="H44" s="397" t="str">
        <f t="shared" si="1"/>
        <v>MD</v>
      </c>
    </row>
    <row r="45" spans="1:8" s="394" customFormat="1">
      <c r="A45" s="394" t="s">
        <v>1225</v>
      </c>
      <c r="B45" s="393" t="s">
        <v>1107</v>
      </c>
      <c r="C45" s="393" t="s">
        <v>1102</v>
      </c>
      <c r="D45" s="393" t="s">
        <v>1103</v>
      </c>
      <c r="E45" s="393" t="s">
        <v>1132</v>
      </c>
      <c r="F45" s="394" t="s">
        <v>1226</v>
      </c>
      <c r="G45" s="393">
        <f t="shared" si="0"/>
        <v>11</v>
      </c>
      <c r="H45" s="397" t="str">
        <f t="shared" si="1"/>
        <v>GA</v>
      </c>
    </row>
    <row r="46" spans="1:8" s="394" customFormat="1">
      <c r="A46" s="394" t="s">
        <v>1227</v>
      </c>
      <c r="B46" s="393" t="s">
        <v>275</v>
      </c>
      <c r="C46" s="393" t="s">
        <v>1102</v>
      </c>
      <c r="D46" s="393" t="s">
        <v>1103</v>
      </c>
      <c r="E46" s="393" t="s">
        <v>1228</v>
      </c>
      <c r="F46" s="394" t="s">
        <v>1229</v>
      </c>
      <c r="G46" s="393">
        <f t="shared" si="0"/>
        <v>11</v>
      </c>
      <c r="H46" s="397" t="str">
        <f t="shared" si="1"/>
        <v>GA</v>
      </c>
    </row>
    <row r="47" spans="1:8" s="394" customFormat="1">
      <c r="A47" s="394" t="s">
        <v>1230</v>
      </c>
      <c r="B47" s="393" t="s">
        <v>1231</v>
      </c>
      <c r="C47" s="393" t="s">
        <v>1097</v>
      </c>
      <c r="D47" s="393" t="s">
        <v>1098</v>
      </c>
      <c r="E47" s="393" t="s">
        <v>1232</v>
      </c>
      <c r="F47" s="394" t="s">
        <v>1233</v>
      </c>
      <c r="G47" s="393">
        <f t="shared" si="0"/>
        <v>10</v>
      </c>
      <c r="H47" s="397" t="str">
        <f t="shared" si="1"/>
        <v>GA</v>
      </c>
    </row>
    <row r="48" spans="1:8" s="394" customFormat="1">
      <c r="A48" s="394" t="s">
        <v>1234</v>
      </c>
      <c r="B48" s="393" t="s">
        <v>1209</v>
      </c>
      <c r="C48" s="393" t="s">
        <v>1102</v>
      </c>
      <c r="D48" s="393" t="s">
        <v>1103</v>
      </c>
      <c r="E48" s="393" t="s">
        <v>1235</v>
      </c>
      <c r="F48" s="394" t="s">
        <v>1236</v>
      </c>
      <c r="G48" s="393">
        <f t="shared" si="0"/>
        <v>9</v>
      </c>
      <c r="H48" s="397" t="str">
        <f t="shared" si="1"/>
        <v>SC</v>
      </c>
    </row>
    <row r="49" spans="1:8" s="394" customFormat="1">
      <c r="A49" s="394" t="s">
        <v>1237</v>
      </c>
      <c r="B49" s="393" t="s">
        <v>275</v>
      </c>
      <c r="C49" s="393" t="s">
        <v>1108</v>
      </c>
      <c r="D49" s="393" t="s">
        <v>1109</v>
      </c>
      <c r="E49" s="393" t="s">
        <v>1238</v>
      </c>
      <c r="F49" s="394" t="s">
        <v>1239</v>
      </c>
      <c r="G49" s="393">
        <f t="shared" si="0"/>
        <v>10</v>
      </c>
      <c r="H49" s="397" t="str">
        <f t="shared" si="1"/>
        <v>GA</v>
      </c>
    </row>
    <row r="50" spans="1:8" s="394" customFormat="1">
      <c r="A50" s="394" t="s">
        <v>1240</v>
      </c>
      <c r="B50" s="393" t="s">
        <v>1231</v>
      </c>
      <c r="C50" s="393" t="s">
        <v>1102</v>
      </c>
      <c r="D50" s="393" t="s">
        <v>1098</v>
      </c>
      <c r="E50" s="393" t="s">
        <v>1241</v>
      </c>
      <c r="F50" s="394" t="s">
        <v>1147</v>
      </c>
      <c r="G50" s="393">
        <f t="shared" si="0"/>
        <v>7</v>
      </c>
      <c r="H50" s="397" t="str">
        <f t="shared" si="1"/>
        <v>GA</v>
      </c>
    </row>
    <row r="51" spans="1:8" s="394" customFormat="1">
      <c r="A51" s="394" t="s">
        <v>1242</v>
      </c>
      <c r="B51" s="393" t="s">
        <v>1222</v>
      </c>
      <c r="C51" s="393" t="s">
        <v>1097</v>
      </c>
      <c r="D51" s="393" t="s">
        <v>1098</v>
      </c>
      <c r="E51" s="393" t="s">
        <v>1243</v>
      </c>
      <c r="F51" s="394" t="s">
        <v>1115</v>
      </c>
      <c r="G51" s="393">
        <f t="shared" si="0"/>
        <v>9</v>
      </c>
      <c r="H51" s="397" t="str">
        <f t="shared" si="1"/>
        <v>GA</v>
      </c>
    </row>
    <row r="52" spans="1:8" s="394" customFormat="1">
      <c r="A52" s="394" t="s">
        <v>1244</v>
      </c>
      <c r="B52" s="393" t="s">
        <v>1128</v>
      </c>
      <c r="C52" s="393" t="s">
        <v>1108</v>
      </c>
      <c r="D52" s="393" t="s">
        <v>1103</v>
      </c>
      <c r="E52" s="393" t="s">
        <v>1245</v>
      </c>
      <c r="F52" s="394" t="s">
        <v>1246</v>
      </c>
      <c r="G52" s="393">
        <f t="shared" si="0"/>
        <v>13</v>
      </c>
      <c r="H52" s="397" t="str">
        <f t="shared" si="1"/>
        <v>GA</v>
      </c>
    </row>
    <row r="53" spans="1:8" s="394" customFormat="1">
      <c r="A53" s="394" t="s">
        <v>1247</v>
      </c>
      <c r="B53" s="393" t="s">
        <v>1209</v>
      </c>
      <c r="C53" s="393" t="s">
        <v>1097</v>
      </c>
      <c r="D53" s="393" t="s">
        <v>1098</v>
      </c>
      <c r="E53" s="393" t="s">
        <v>1248</v>
      </c>
      <c r="F53" s="394" t="s">
        <v>1249</v>
      </c>
      <c r="G53" s="393">
        <f t="shared" si="0"/>
        <v>12</v>
      </c>
      <c r="H53" s="397" t="str">
        <f t="shared" si="1"/>
        <v>GA</v>
      </c>
    </row>
    <row r="54" spans="1:8" s="394" customFormat="1">
      <c r="A54" s="394" t="s">
        <v>1250</v>
      </c>
      <c r="B54" s="393" t="s">
        <v>1231</v>
      </c>
      <c r="C54" s="393" t="s">
        <v>1108</v>
      </c>
      <c r="D54" s="393" t="s">
        <v>1153</v>
      </c>
      <c r="E54" s="393" t="s">
        <v>1251</v>
      </c>
      <c r="F54" s="394" t="s">
        <v>1252</v>
      </c>
      <c r="G54" s="393">
        <f t="shared" si="0"/>
        <v>9</v>
      </c>
      <c r="H54" s="397" t="str">
        <f t="shared" si="1"/>
        <v>GA</v>
      </c>
    </row>
    <row r="55" spans="1:8" s="394" customFormat="1">
      <c r="A55" s="394" t="s">
        <v>1253</v>
      </c>
      <c r="B55" s="393" t="s">
        <v>1231</v>
      </c>
      <c r="C55" s="393" t="s">
        <v>1108</v>
      </c>
      <c r="D55" s="393" t="s">
        <v>1153</v>
      </c>
      <c r="E55" s="393" t="s">
        <v>1254</v>
      </c>
      <c r="F55" s="394" t="s">
        <v>1255</v>
      </c>
      <c r="G55" s="393">
        <f t="shared" si="0"/>
        <v>14</v>
      </c>
      <c r="H55" s="397" t="str">
        <f t="shared" si="1"/>
        <v>FL</v>
      </c>
    </row>
    <row r="56" spans="1:8" s="394" customFormat="1">
      <c r="A56" s="394" t="s">
        <v>1256</v>
      </c>
      <c r="B56" s="393" t="s">
        <v>1222</v>
      </c>
      <c r="C56" s="393" t="s">
        <v>1108</v>
      </c>
      <c r="D56" s="393" t="s">
        <v>1153</v>
      </c>
      <c r="E56" s="393" t="s">
        <v>1257</v>
      </c>
      <c r="F56" s="394" t="s">
        <v>1226</v>
      </c>
      <c r="G56" s="393">
        <f t="shared" si="0"/>
        <v>11</v>
      </c>
      <c r="H56" s="397" t="str">
        <f t="shared" si="1"/>
        <v>GA</v>
      </c>
    </row>
    <row r="57" spans="1:8" s="394" customFormat="1">
      <c r="A57" s="394" t="s">
        <v>1258</v>
      </c>
      <c r="B57" s="393" t="s">
        <v>1222</v>
      </c>
      <c r="C57" s="393" t="s">
        <v>1108</v>
      </c>
      <c r="D57" s="393" t="s">
        <v>1153</v>
      </c>
      <c r="E57" s="393" t="s">
        <v>1259</v>
      </c>
      <c r="F57" s="394" t="s">
        <v>1260</v>
      </c>
      <c r="G57" s="393">
        <f t="shared" si="0"/>
        <v>8</v>
      </c>
      <c r="H57" s="397" t="str">
        <f t="shared" si="1"/>
        <v>GA</v>
      </c>
    </row>
    <row r="58" spans="1:8" s="394" customFormat="1">
      <c r="A58" s="394" t="s">
        <v>1261</v>
      </c>
      <c r="B58" s="393" t="s">
        <v>1209</v>
      </c>
      <c r="C58" s="393" t="s">
        <v>1108</v>
      </c>
      <c r="D58" s="393" t="s">
        <v>1153</v>
      </c>
      <c r="E58" s="393" t="s">
        <v>1262</v>
      </c>
      <c r="F58" s="394" t="s">
        <v>1263</v>
      </c>
      <c r="G58" s="393">
        <f t="shared" si="0"/>
        <v>12</v>
      </c>
      <c r="H58" s="397" t="str">
        <f t="shared" si="1"/>
        <v>GA</v>
      </c>
    </row>
    <row r="59" spans="1:8" s="394" customFormat="1">
      <c r="A59" s="394" t="s">
        <v>1264</v>
      </c>
      <c r="B59" s="393" t="s">
        <v>275</v>
      </c>
      <c r="C59" s="393" t="s">
        <v>1097</v>
      </c>
      <c r="D59" s="393" t="s">
        <v>1098</v>
      </c>
      <c r="E59" s="393" t="s">
        <v>1265</v>
      </c>
      <c r="F59" s="394" t="s">
        <v>1266</v>
      </c>
      <c r="G59" s="393">
        <f t="shared" si="0"/>
        <v>15</v>
      </c>
      <c r="H59" s="397" t="str">
        <f t="shared" si="1"/>
        <v>FL</v>
      </c>
    </row>
    <row r="60" spans="1:8" s="394" customFormat="1">
      <c r="A60" s="394" t="s">
        <v>1267</v>
      </c>
      <c r="B60" s="393" t="s">
        <v>1268</v>
      </c>
      <c r="C60" s="393" t="s">
        <v>1102</v>
      </c>
      <c r="D60" s="393" t="s">
        <v>1103</v>
      </c>
      <c r="E60" s="393" t="s">
        <v>1269</v>
      </c>
      <c r="F60" s="394" t="s">
        <v>1270</v>
      </c>
      <c r="G60" s="393">
        <f t="shared" si="0"/>
        <v>10</v>
      </c>
      <c r="H60" s="397" t="str">
        <f t="shared" si="1"/>
        <v>GA</v>
      </c>
    </row>
    <row r="61" spans="1:8" s="394" customFormat="1">
      <c r="A61" s="394" t="s">
        <v>1271</v>
      </c>
      <c r="B61" s="393" t="s">
        <v>1090</v>
      </c>
      <c r="C61" s="393" t="s">
        <v>1091</v>
      </c>
      <c r="D61" s="393" t="s">
        <v>1092</v>
      </c>
      <c r="E61" s="393" t="s">
        <v>1272</v>
      </c>
      <c r="F61" s="394" t="s">
        <v>1273</v>
      </c>
      <c r="G61" s="393">
        <f t="shared" si="0"/>
        <v>9</v>
      </c>
      <c r="H61" s="397" t="str">
        <f t="shared" si="1"/>
        <v>GA</v>
      </c>
    </row>
    <row r="62" spans="1:8" s="394" customFormat="1">
      <c r="A62" s="394" t="s">
        <v>1274</v>
      </c>
      <c r="B62" s="393" t="s">
        <v>1209</v>
      </c>
      <c r="C62" s="393" t="s">
        <v>1097</v>
      </c>
      <c r="D62" s="393" t="s">
        <v>1098</v>
      </c>
      <c r="E62" s="393" t="s">
        <v>1132</v>
      </c>
      <c r="F62" s="394" t="s">
        <v>1275</v>
      </c>
      <c r="G62" s="393">
        <f t="shared" si="0"/>
        <v>9</v>
      </c>
      <c r="H62" s="397" t="str">
        <f t="shared" si="1"/>
        <v>GA</v>
      </c>
    </row>
    <row r="63" spans="1:8" s="394" customFormat="1">
      <c r="A63" s="394" t="s">
        <v>1276</v>
      </c>
      <c r="B63" s="393" t="s">
        <v>1277</v>
      </c>
      <c r="C63" s="393" t="s">
        <v>1108</v>
      </c>
      <c r="D63" s="393" t="s">
        <v>1109</v>
      </c>
      <c r="E63" s="393" t="s">
        <v>1278</v>
      </c>
      <c r="F63" s="394" t="s">
        <v>1279</v>
      </c>
      <c r="G63" s="393">
        <f t="shared" si="0"/>
        <v>15</v>
      </c>
      <c r="H63" s="397" t="str">
        <f t="shared" si="1"/>
        <v>FL</v>
      </c>
    </row>
    <row r="64" spans="1:8" s="394" customFormat="1">
      <c r="A64" s="394" t="s">
        <v>1280</v>
      </c>
      <c r="B64" s="393" t="s">
        <v>1202</v>
      </c>
      <c r="C64" s="393" t="s">
        <v>1102</v>
      </c>
      <c r="D64" s="393" t="s">
        <v>1103</v>
      </c>
      <c r="E64" s="393" t="s">
        <v>1281</v>
      </c>
      <c r="F64" s="394" t="s">
        <v>1282</v>
      </c>
      <c r="G64" s="393">
        <f t="shared" si="0"/>
        <v>11</v>
      </c>
      <c r="H64" s="397" t="str">
        <f t="shared" si="1"/>
        <v>FL</v>
      </c>
    </row>
    <row r="65" spans="1:8" s="394" customFormat="1">
      <c r="A65" s="394" t="s">
        <v>1283</v>
      </c>
      <c r="B65" s="393" t="s">
        <v>275</v>
      </c>
      <c r="C65" s="393" t="s">
        <v>1108</v>
      </c>
      <c r="D65" s="393" t="s">
        <v>1153</v>
      </c>
      <c r="E65" s="393" t="s">
        <v>1284</v>
      </c>
      <c r="F65" s="394" t="s">
        <v>1285</v>
      </c>
      <c r="G65" s="393">
        <f t="shared" si="0"/>
        <v>9</v>
      </c>
      <c r="H65" s="397" t="str">
        <f t="shared" si="1"/>
        <v>GA</v>
      </c>
    </row>
    <row r="66" spans="1:8" s="394" customFormat="1">
      <c r="A66" s="394" t="s">
        <v>1286</v>
      </c>
      <c r="B66" s="393" t="s">
        <v>1090</v>
      </c>
      <c r="C66" s="393" t="s">
        <v>1108</v>
      </c>
      <c r="D66" s="393" t="s">
        <v>1153</v>
      </c>
      <c r="E66" s="393" t="s">
        <v>1287</v>
      </c>
      <c r="F66" s="394" t="s">
        <v>1288</v>
      </c>
      <c r="G66" s="393">
        <f t="shared" si="0"/>
        <v>8</v>
      </c>
      <c r="H66" s="397" t="str">
        <f t="shared" si="1"/>
        <v>GA</v>
      </c>
    </row>
    <row r="67" spans="1:8" s="394" customFormat="1">
      <c r="A67" s="394" t="s">
        <v>1289</v>
      </c>
      <c r="B67" s="393" t="s">
        <v>1290</v>
      </c>
      <c r="C67" s="393" t="s">
        <v>1108</v>
      </c>
      <c r="D67" s="393" t="s">
        <v>1153</v>
      </c>
      <c r="E67" s="393" t="s">
        <v>1291</v>
      </c>
      <c r="F67" s="394" t="s">
        <v>1292</v>
      </c>
      <c r="G67" s="393">
        <f t="shared" si="0"/>
        <v>11</v>
      </c>
      <c r="H67" s="397" t="str">
        <f t="shared" si="1"/>
        <v>GA</v>
      </c>
    </row>
    <row r="68" spans="1:8" s="394" customFormat="1">
      <c r="A68" s="394" t="s">
        <v>1293</v>
      </c>
      <c r="B68" s="393" t="s">
        <v>15</v>
      </c>
      <c r="C68" s="393" t="s">
        <v>1102</v>
      </c>
      <c r="D68" s="393" t="s">
        <v>1103</v>
      </c>
      <c r="E68" s="393" t="s">
        <v>1294</v>
      </c>
      <c r="F68" s="394" t="s">
        <v>1295</v>
      </c>
      <c r="G68" s="393">
        <f t="shared" si="0"/>
        <v>12</v>
      </c>
      <c r="H68" s="397" t="str">
        <f t="shared" si="1"/>
        <v>AL</v>
      </c>
    </row>
    <row r="69" spans="1:8" s="394" customFormat="1">
      <c r="A69" s="394" t="s">
        <v>1296</v>
      </c>
      <c r="B69" s="393" t="s">
        <v>1268</v>
      </c>
      <c r="C69" s="393" t="s">
        <v>1108</v>
      </c>
      <c r="D69" s="393" t="s">
        <v>1153</v>
      </c>
      <c r="E69" s="393" t="s">
        <v>1297</v>
      </c>
      <c r="F69" s="394" t="s">
        <v>1298</v>
      </c>
      <c r="G69" s="393">
        <f t="shared" si="0"/>
        <v>10</v>
      </c>
      <c r="H69" s="397" t="str">
        <f t="shared" si="1"/>
        <v>GA</v>
      </c>
    </row>
    <row r="70" spans="1:8" s="394" customFormat="1">
      <c r="A70" s="394" t="s">
        <v>1299</v>
      </c>
      <c r="B70" s="393" t="s">
        <v>275</v>
      </c>
      <c r="C70" s="393" t="s">
        <v>1102</v>
      </c>
      <c r="D70" s="393" t="s">
        <v>1103</v>
      </c>
      <c r="E70" s="393" t="s">
        <v>1300</v>
      </c>
      <c r="F70" s="394" t="s">
        <v>1301</v>
      </c>
      <c r="G70" s="393">
        <f t="shared" si="0"/>
        <v>7</v>
      </c>
      <c r="H70" s="397" t="str">
        <f t="shared" si="1"/>
        <v>LA</v>
      </c>
    </row>
    <row r="71" spans="1:8" s="394" customFormat="1">
      <c r="A71" s="394" t="s">
        <v>1302</v>
      </c>
      <c r="B71" s="393" t="s">
        <v>15</v>
      </c>
      <c r="C71" s="393" t="s">
        <v>1091</v>
      </c>
      <c r="D71" s="393" t="s">
        <v>1092</v>
      </c>
      <c r="E71" s="393" t="s">
        <v>1297</v>
      </c>
      <c r="F71" s="394" t="s">
        <v>1303</v>
      </c>
      <c r="G71" s="393">
        <f t="shared" ref="G71:G104" si="2">FIND(",",F71)</f>
        <v>7</v>
      </c>
      <c r="H71" s="397" t="str">
        <f t="shared" ref="H71:H104" si="3">MID(F71,G71+2,2)</f>
        <v>GA</v>
      </c>
    </row>
    <row r="72" spans="1:8" s="394" customFormat="1">
      <c r="A72" s="394" t="s">
        <v>1304</v>
      </c>
      <c r="B72" s="393" t="s">
        <v>1090</v>
      </c>
      <c r="C72" s="393" t="s">
        <v>1097</v>
      </c>
      <c r="D72" s="393" t="s">
        <v>1098</v>
      </c>
      <c r="E72" s="393" t="s">
        <v>1305</v>
      </c>
      <c r="F72" s="394" t="s">
        <v>1306</v>
      </c>
      <c r="G72" s="393">
        <f t="shared" si="2"/>
        <v>13</v>
      </c>
      <c r="H72" s="397" t="str">
        <f t="shared" si="3"/>
        <v>AL</v>
      </c>
    </row>
    <row r="73" spans="1:8" s="394" customFormat="1">
      <c r="A73" s="394" t="s">
        <v>1307</v>
      </c>
      <c r="B73" s="393" t="s">
        <v>275</v>
      </c>
      <c r="C73" s="393" t="s">
        <v>1102</v>
      </c>
      <c r="D73" s="393" t="s">
        <v>1098</v>
      </c>
      <c r="E73" s="393" t="s">
        <v>1308</v>
      </c>
      <c r="F73" s="394" t="s">
        <v>1309</v>
      </c>
      <c r="G73" s="393">
        <f t="shared" si="2"/>
        <v>7</v>
      </c>
      <c r="H73" s="397" t="str">
        <f t="shared" si="3"/>
        <v>GA</v>
      </c>
    </row>
    <row r="74" spans="1:8" s="394" customFormat="1">
      <c r="A74" s="394" t="s">
        <v>1310</v>
      </c>
      <c r="B74" s="393" t="s">
        <v>1311</v>
      </c>
      <c r="C74" s="393" t="s">
        <v>1091</v>
      </c>
      <c r="D74" s="393" t="s">
        <v>1092</v>
      </c>
      <c r="E74" s="393" t="s">
        <v>1312</v>
      </c>
      <c r="F74" s="394" t="s">
        <v>1313</v>
      </c>
      <c r="G74" s="393">
        <f t="shared" si="2"/>
        <v>9</v>
      </c>
      <c r="H74" s="397" t="str">
        <f t="shared" si="3"/>
        <v>GA</v>
      </c>
    </row>
    <row r="75" spans="1:8" s="394" customFormat="1">
      <c r="A75" s="394" t="s">
        <v>1314</v>
      </c>
      <c r="B75" s="393" t="s">
        <v>1090</v>
      </c>
      <c r="C75" s="393" t="s">
        <v>1097</v>
      </c>
      <c r="D75" s="393" t="s">
        <v>1098</v>
      </c>
      <c r="E75" s="393" t="s">
        <v>1315</v>
      </c>
      <c r="F75" s="394" t="s">
        <v>1316</v>
      </c>
      <c r="G75" s="393">
        <f t="shared" si="2"/>
        <v>11</v>
      </c>
      <c r="H75" s="397" t="str">
        <f t="shared" si="3"/>
        <v>GA</v>
      </c>
    </row>
    <row r="76" spans="1:8" s="394" customFormat="1">
      <c r="A76" s="394" t="s">
        <v>1317</v>
      </c>
      <c r="B76" s="393" t="s">
        <v>1290</v>
      </c>
      <c r="C76" s="393" t="s">
        <v>1102</v>
      </c>
      <c r="D76" s="393" t="s">
        <v>1103</v>
      </c>
      <c r="E76" s="393" t="s">
        <v>1318</v>
      </c>
      <c r="F76" s="394" t="s">
        <v>1319</v>
      </c>
      <c r="G76" s="393">
        <f t="shared" si="2"/>
        <v>10</v>
      </c>
      <c r="H76" s="397" t="str">
        <f t="shared" si="3"/>
        <v>GA</v>
      </c>
    </row>
    <row r="77" spans="1:8" s="394" customFormat="1">
      <c r="A77" s="394" t="s">
        <v>1320</v>
      </c>
      <c r="B77" s="393" t="s">
        <v>1290</v>
      </c>
      <c r="C77" s="393" t="s">
        <v>1108</v>
      </c>
      <c r="D77" s="393" t="s">
        <v>1109</v>
      </c>
      <c r="E77" s="393" t="s">
        <v>1321</v>
      </c>
      <c r="F77" s="394" t="s">
        <v>1322</v>
      </c>
      <c r="G77" s="393">
        <f t="shared" si="2"/>
        <v>11</v>
      </c>
      <c r="H77" s="397" t="str">
        <f t="shared" si="3"/>
        <v>GA</v>
      </c>
    </row>
    <row r="78" spans="1:8" s="394" customFormat="1">
      <c r="A78" s="394" t="s">
        <v>1323</v>
      </c>
      <c r="B78" s="393" t="s">
        <v>275</v>
      </c>
      <c r="C78" s="393" t="s">
        <v>1108</v>
      </c>
      <c r="D78" s="393" t="s">
        <v>1153</v>
      </c>
      <c r="E78" s="393" t="s">
        <v>1324</v>
      </c>
      <c r="F78" s="394" t="s">
        <v>1325</v>
      </c>
      <c r="G78" s="393">
        <f t="shared" si="2"/>
        <v>8</v>
      </c>
      <c r="H78" s="397" t="str">
        <f t="shared" si="3"/>
        <v>GA</v>
      </c>
    </row>
    <row r="79" spans="1:8" s="394" customFormat="1">
      <c r="A79" s="394" t="s">
        <v>1326</v>
      </c>
      <c r="B79" s="393" t="s">
        <v>1268</v>
      </c>
      <c r="C79" s="393" t="s">
        <v>1102</v>
      </c>
      <c r="D79" s="393" t="s">
        <v>1103</v>
      </c>
      <c r="E79" s="393" t="s">
        <v>1327</v>
      </c>
      <c r="F79" s="394" t="s">
        <v>1328</v>
      </c>
      <c r="G79" s="393">
        <f t="shared" si="2"/>
        <v>6</v>
      </c>
      <c r="H79" s="397" t="str">
        <f t="shared" si="3"/>
        <v>GA</v>
      </c>
    </row>
    <row r="80" spans="1:8" s="394" customFormat="1">
      <c r="A80" s="394" t="s">
        <v>1329</v>
      </c>
      <c r="B80" s="393" t="s">
        <v>1290</v>
      </c>
      <c r="C80" s="393" t="s">
        <v>1097</v>
      </c>
      <c r="D80" s="393" t="s">
        <v>1103</v>
      </c>
      <c r="E80" s="393" t="s">
        <v>1330</v>
      </c>
      <c r="F80" s="394" t="s">
        <v>1331</v>
      </c>
      <c r="G80" s="393">
        <f t="shared" si="2"/>
        <v>10</v>
      </c>
      <c r="H80" s="397" t="str">
        <f t="shared" si="3"/>
        <v>NC</v>
      </c>
    </row>
    <row r="81" spans="1:8" s="394" customFormat="1">
      <c r="A81" s="394" t="s">
        <v>1332</v>
      </c>
      <c r="B81" s="393" t="s">
        <v>1290</v>
      </c>
      <c r="C81" s="393" t="s">
        <v>1108</v>
      </c>
      <c r="D81" s="393" t="s">
        <v>1153</v>
      </c>
      <c r="E81" s="393" t="s">
        <v>1333</v>
      </c>
      <c r="F81" s="394" t="s">
        <v>1334</v>
      </c>
      <c r="G81" s="393">
        <f t="shared" si="2"/>
        <v>7</v>
      </c>
      <c r="H81" s="397" t="str">
        <f t="shared" si="3"/>
        <v>MS</v>
      </c>
    </row>
    <row r="82" spans="1:8" s="394" customFormat="1">
      <c r="A82" s="394" t="s">
        <v>1335</v>
      </c>
      <c r="B82" s="393" t="s">
        <v>1268</v>
      </c>
      <c r="C82" s="393" t="s">
        <v>1102</v>
      </c>
      <c r="D82" s="393" t="s">
        <v>1103</v>
      </c>
      <c r="E82" s="393" t="s">
        <v>1336</v>
      </c>
      <c r="F82" s="394" t="s">
        <v>1337</v>
      </c>
      <c r="G82" s="393">
        <f t="shared" si="2"/>
        <v>7</v>
      </c>
      <c r="H82" s="397" t="str">
        <f t="shared" si="3"/>
        <v>GA</v>
      </c>
    </row>
    <row r="83" spans="1:8" s="394" customFormat="1">
      <c r="A83" s="394" t="s">
        <v>1338</v>
      </c>
      <c r="B83" s="393" t="s">
        <v>1128</v>
      </c>
      <c r="C83" s="393" t="s">
        <v>1102</v>
      </c>
      <c r="D83" s="393" t="s">
        <v>1103</v>
      </c>
      <c r="E83" s="393" t="s">
        <v>1110</v>
      </c>
      <c r="F83" s="394" t="s">
        <v>1339</v>
      </c>
      <c r="G83" s="393">
        <f t="shared" si="2"/>
        <v>7</v>
      </c>
      <c r="H83" s="397" t="str">
        <f t="shared" si="3"/>
        <v>CT</v>
      </c>
    </row>
    <row r="84" spans="1:8" s="394" customFormat="1">
      <c r="A84" s="394" t="s">
        <v>1340</v>
      </c>
      <c r="B84" s="393" t="s">
        <v>1124</v>
      </c>
      <c r="C84" s="393" t="s">
        <v>1102</v>
      </c>
      <c r="D84" s="393" t="s">
        <v>1103</v>
      </c>
      <c r="E84" s="393" t="s">
        <v>1341</v>
      </c>
      <c r="F84" s="394" t="s">
        <v>1122</v>
      </c>
      <c r="G84" s="393">
        <f t="shared" si="2"/>
        <v>9</v>
      </c>
      <c r="H84" s="397" t="str">
        <f t="shared" si="3"/>
        <v>MO</v>
      </c>
    </row>
    <row r="85" spans="1:8" s="394" customFormat="1">
      <c r="A85" s="394" t="s">
        <v>1342</v>
      </c>
      <c r="B85" s="393" t="s">
        <v>1128</v>
      </c>
      <c r="C85" s="393" t="s">
        <v>1108</v>
      </c>
      <c r="D85" s="393" t="s">
        <v>1153</v>
      </c>
      <c r="E85" s="393" t="s">
        <v>1343</v>
      </c>
      <c r="F85" s="394" t="s">
        <v>1344</v>
      </c>
      <c r="G85" s="393">
        <f t="shared" si="2"/>
        <v>16</v>
      </c>
      <c r="H85" s="397" t="str">
        <f t="shared" si="3"/>
        <v>FL</v>
      </c>
    </row>
    <row r="86" spans="1:8" s="394" customFormat="1">
      <c r="A86" s="394" t="s">
        <v>1345</v>
      </c>
      <c r="B86" s="393" t="s">
        <v>275</v>
      </c>
      <c r="C86" s="393" t="s">
        <v>1097</v>
      </c>
      <c r="D86" s="393" t="s">
        <v>1098</v>
      </c>
      <c r="E86" s="393" t="s">
        <v>1346</v>
      </c>
      <c r="F86" s="394" t="s">
        <v>1347</v>
      </c>
      <c r="G86" s="393">
        <f t="shared" si="2"/>
        <v>10</v>
      </c>
      <c r="H86" s="397" t="str">
        <f t="shared" si="3"/>
        <v>GA</v>
      </c>
    </row>
    <row r="87" spans="1:8" s="394" customFormat="1">
      <c r="A87" s="394" t="s">
        <v>1348</v>
      </c>
      <c r="B87" s="393" t="s">
        <v>1124</v>
      </c>
      <c r="C87" s="393" t="s">
        <v>1091</v>
      </c>
      <c r="D87" s="393" t="s">
        <v>1092</v>
      </c>
      <c r="E87" s="393" t="s">
        <v>1349</v>
      </c>
      <c r="F87" s="394" t="s">
        <v>1350</v>
      </c>
      <c r="G87" s="393">
        <f t="shared" si="2"/>
        <v>9</v>
      </c>
      <c r="H87" s="397" t="str">
        <f t="shared" si="3"/>
        <v>GA</v>
      </c>
    </row>
    <row r="88" spans="1:8" s="394" customFormat="1">
      <c r="A88" s="394" t="s">
        <v>1351</v>
      </c>
      <c r="B88" s="393" t="s">
        <v>1277</v>
      </c>
      <c r="C88" s="393" t="s">
        <v>1091</v>
      </c>
      <c r="D88" s="393" t="s">
        <v>1092</v>
      </c>
      <c r="E88" s="393" t="s">
        <v>1297</v>
      </c>
      <c r="F88" s="394" t="s">
        <v>1352</v>
      </c>
      <c r="G88" s="393">
        <f t="shared" si="2"/>
        <v>9</v>
      </c>
      <c r="H88" s="397" t="str">
        <f t="shared" si="3"/>
        <v>GA</v>
      </c>
    </row>
    <row r="89" spans="1:8" s="394" customFormat="1">
      <c r="A89" s="394" t="s">
        <v>1353</v>
      </c>
      <c r="B89" s="393" t="s">
        <v>1124</v>
      </c>
      <c r="C89" s="393" t="s">
        <v>1108</v>
      </c>
      <c r="D89" s="393" t="s">
        <v>1098</v>
      </c>
      <c r="E89" s="393" t="s">
        <v>1354</v>
      </c>
      <c r="F89" s="394" t="s">
        <v>1355</v>
      </c>
      <c r="G89" s="393">
        <f t="shared" si="2"/>
        <v>12</v>
      </c>
      <c r="H89" s="397" t="str">
        <f t="shared" si="3"/>
        <v>GA</v>
      </c>
    </row>
    <row r="90" spans="1:8" s="394" customFormat="1">
      <c r="A90" s="394" t="s">
        <v>1356</v>
      </c>
      <c r="B90" s="393" t="s">
        <v>275</v>
      </c>
      <c r="C90" s="393" t="s">
        <v>1091</v>
      </c>
      <c r="D90" s="393" t="s">
        <v>1092</v>
      </c>
      <c r="E90" s="393" t="s">
        <v>1357</v>
      </c>
      <c r="F90" s="394" t="s">
        <v>1358</v>
      </c>
      <c r="G90" s="393">
        <f t="shared" si="2"/>
        <v>9</v>
      </c>
      <c r="H90" s="397" t="str">
        <f t="shared" si="3"/>
        <v>GA</v>
      </c>
    </row>
    <row r="91" spans="1:8" s="394" customFormat="1">
      <c r="A91" s="394" t="s">
        <v>1359</v>
      </c>
      <c r="B91" s="393" t="s">
        <v>1124</v>
      </c>
      <c r="C91" s="393" t="s">
        <v>1097</v>
      </c>
      <c r="D91" s="393" t="s">
        <v>1098</v>
      </c>
      <c r="E91" s="393" t="s">
        <v>1360</v>
      </c>
      <c r="F91" s="394" t="s">
        <v>1361</v>
      </c>
      <c r="G91" s="393">
        <f t="shared" si="2"/>
        <v>10</v>
      </c>
      <c r="H91" s="397" t="str">
        <f t="shared" si="3"/>
        <v>MA</v>
      </c>
    </row>
    <row r="92" spans="1:8" s="394" customFormat="1">
      <c r="A92" s="394" t="s">
        <v>1362</v>
      </c>
      <c r="B92" s="393" t="s">
        <v>1124</v>
      </c>
      <c r="C92" s="393" t="s">
        <v>1102</v>
      </c>
      <c r="D92" s="393" t="s">
        <v>1103</v>
      </c>
      <c r="E92" s="393" t="s">
        <v>1363</v>
      </c>
      <c r="F92" s="394" t="s">
        <v>1364</v>
      </c>
      <c r="G92" s="393">
        <f t="shared" si="2"/>
        <v>9</v>
      </c>
      <c r="H92" s="397" t="str">
        <f t="shared" si="3"/>
        <v>GA</v>
      </c>
    </row>
    <row r="93" spans="1:8" s="394" customFormat="1">
      <c r="A93" s="394" t="s">
        <v>1365</v>
      </c>
      <c r="B93" s="393" t="s">
        <v>275</v>
      </c>
      <c r="C93" s="393" t="s">
        <v>1091</v>
      </c>
      <c r="D93" s="393" t="s">
        <v>1092</v>
      </c>
      <c r="E93" s="393" t="s">
        <v>1360</v>
      </c>
      <c r="F93" s="394" t="s">
        <v>1366</v>
      </c>
      <c r="G93" s="393">
        <f t="shared" si="2"/>
        <v>5</v>
      </c>
      <c r="H93" s="397" t="str">
        <f t="shared" si="3"/>
        <v>IN</v>
      </c>
    </row>
    <row r="94" spans="1:8" s="394" customFormat="1">
      <c r="A94" s="394" t="s">
        <v>1367</v>
      </c>
      <c r="B94" s="393" t="s">
        <v>1277</v>
      </c>
      <c r="C94" s="393" t="s">
        <v>1108</v>
      </c>
      <c r="D94" s="393" t="s">
        <v>1109</v>
      </c>
      <c r="E94" s="393" t="s">
        <v>1368</v>
      </c>
      <c r="F94" s="394" t="s">
        <v>1369</v>
      </c>
      <c r="G94" s="393">
        <f t="shared" si="2"/>
        <v>9</v>
      </c>
      <c r="H94" s="397" t="str">
        <f t="shared" si="3"/>
        <v>NJ</v>
      </c>
    </row>
    <row r="95" spans="1:8" s="394" customFormat="1">
      <c r="A95" s="394" t="s">
        <v>1370</v>
      </c>
      <c r="B95" s="393" t="s">
        <v>1202</v>
      </c>
      <c r="C95" s="393" t="s">
        <v>1097</v>
      </c>
      <c r="D95" s="393" t="s">
        <v>1098</v>
      </c>
      <c r="E95" s="393" t="s">
        <v>1371</v>
      </c>
      <c r="F95" s="394" t="s">
        <v>1372</v>
      </c>
      <c r="G95" s="393">
        <f t="shared" si="2"/>
        <v>8</v>
      </c>
      <c r="H95" s="397" t="str">
        <f t="shared" si="3"/>
        <v>GA</v>
      </c>
    </row>
    <row r="96" spans="1:8" s="394" customFormat="1">
      <c r="A96" s="394" t="s">
        <v>1373</v>
      </c>
      <c r="B96" s="393" t="s">
        <v>1374</v>
      </c>
      <c r="C96" s="393" t="s">
        <v>1108</v>
      </c>
      <c r="D96" s="393" t="s">
        <v>1375</v>
      </c>
      <c r="E96" s="393" t="s">
        <v>1376</v>
      </c>
      <c r="F96" s="394" t="s">
        <v>1377</v>
      </c>
      <c r="G96" s="393">
        <f t="shared" si="2"/>
        <v>7</v>
      </c>
      <c r="H96" s="397" t="str">
        <f t="shared" si="3"/>
        <v>GA</v>
      </c>
    </row>
    <row r="97" spans="1:8" s="394" customFormat="1">
      <c r="A97" s="394" t="s">
        <v>1378</v>
      </c>
      <c r="B97" s="393" t="s">
        <v>275</v>
      </c>
      <c r="C97" s="393" t="s">
        <v>1097</v>
      </c>
      <c r="D97" s="393" t="s">
        <v>1098</v>
      </c>
      <c r="E97" s="393" t="s">
        <v>1379</v>
      </c>
      <c r="F97" s="394" t="s">
        <v>1380</v>
      </c>
      <c r="G97" s="393">
        <f t="shared" si="2"/>
        <v>14</v>
      </c>
      <c r="H97" s="397" t="str">
        <f t="shared" si="3"/>
        <v>GA</v>
      </c>
    </row>
    <row r="98" spans="1:8" s="394" customFormat="1">
      <c r="A98" s="394" t="s">
        <v>1381</v>
      </c>
      <c r="B98" s="393" t="s">
        <v>1382</v>
      </c>
      <c r="C98" s="393" t="s">
        <v>1102</v>
      </c>
      <c r="D98" s="393" t="s">
        <v>1103</v>
      </c>
      <c r="E98" s="393" t="s">
        <v>1383</v>
      </c>
      <c r="F98" s="394" t="s">
        <v>1229</v>
      </c>
      <c r="G98" s="393">
        <f t="shared" si="2"/>
        <v>11</v>
      </c>
      <c r="H98" s="397" t="str">
        <f t="shared" si="3"/>
        <v>GA</v>
      </c>
    </row>
    <row r="99" spans="1:8" s="394" customFormat="1">
      <c r="A99" s="394" t="s">
        <v>1384</v>
      </c>
      <c r="B99" s="393" t="s">
        <v>1277</v>
      </c>
      <c r="C99" s="393" t="s">
        <v>1108</v>
      </c>
      <c r="D99" s="393" t="s">
        <v>1109</v>
      </c>
      <c r="E99" s="393" t="s">
        <v>1385</v>
      </c>
      <c r="F99" s="394" t="s">
        <v>1386</v>
      </c>
      <c r="G99" s="393">
        <f t="shared" si="2"/>
        <v>8</v>
      </c>
      <c r="H99" s="397" t="str">
        <f t="shared" si="3"/>
        <v>FL</v>
      </c>
    </row>
    <row r="100" spans="1:8" s="394" customFormat="1">
      <c r="A100" s="394" t="s">
        <v>1387</v>
      </c>
      <c r="B100" s="393" t="s">
        <v>1388</v>
      </c>
      <c r="C100" s="393" t="s">
        <v>1097</v>
      </c>
      <c r="D100" s="393" t="s">
        <v>1098</v>
      </c>
      <c r="E100" s="393" t="s">
        <v>1389</v>
      </c>
      <c r="F100" s="394" t="s">
        <v>1155</v>
      </c>
      <c r="G100" s="393">
        <f t="shared" si="2"/>
        <v>8</v>
      </c>
      <c r="H100" s="397" t="str">
        <f t="shared" si="3"/>
        <v>GA</v>
      </c>
    </row>
    <row r="101" spans="1:8" s="394" customFormat="1">
      <c r="A101" s="394" t="s">
        <v>1390</v>
      </c>
      <c r="B101" s="393" t="s">
        <v>1382</v>
      </c>
      <c r="C101" s="393" t="s">
        <v>1108</v>
      </c>
      <c r="D101" s="393" t="s">
        <v>1153</v>
      </c>
      <c r="E101" s="393" t="s">
        <v>1391</v>
      </c>
      <c r="F101" s="394" t="s">
        <v>1392</v>
      </c>
      <c r="G101" s="393">
        <f t="shared" si="2"/>
        <v>9</v>
      </c>
      <c r="H101" s="397" t="str">
        <f t="shared" si="3"/>
        <v>GA</v>
      </c>
    </row>
    <row r="102" spans="1:8" s="394" customFormat="1">
      <c r="A102" s="394" t="s">
        <v>1393</v>
      </c>
      <c r="B102" s="393" t="s">
        <v>1142</v>
      </c>
      <c r="C102" s="393" t="s">
        <v>1108</v>
      </c>
      <c r="D102" s="393" t="s">
        <v>1153</v>
      </c>
      <c r="E102" s="393" t="s">
        <v>1394</v>
      </c>
      <c r="F102" s="394" t="s">
        <v>1395</v>
      </c>
      <c r="G102" s="393">
        <f t="shared" si="2"/>
        <v>13</v>
      </c>
      <c r="H102" s="397" t="str">
        <f t="shared" si="3"/>
        <v>GA</v>
      </c>
    </row>
    <row r="103" spans="1:8" s="394" customFormat="1">
      <c r="A103" s="394" t="s">
        <v>1396</v>
      </c>
      <c r="B103" s="393" t="s">
        <v>1277</v>
      </c>
      <c r="C103" s="393" t="s">
        <v>1108</v>
      </c>
      <c r="D103" s="393" t="s">
        <v>1153</v>
      </c>
      <c r="E103" s="393" t="s">
        <v>1397</v>
      </c>
      <c r="F103" s="394" t="s">
        <v>1398</v>
      </c>
      <c r="G103" s="393">
        <f t="shared" si="2"/>
        <v>11</v>
      </c>
      <c r="H103" s="397" t="str">
        <f t="shared" si="3"/>
        <v>NC</v>
      </c>
    </row>
    <row r="104" spans="1:8" s="394" customFormat="1">
      <c r="A104" s="394" t="s">
        <v>1399</v>
      </c>
      <c r="B104" s="393" t="s">
        <v>1382</v>
      </c>
      <c r="C104" s="393" t="s">
        <v>1091</v>
      </c>
      <c r="D104" s="393" t="s">
        <v>1092</v>
      </c>
      <c r="E104" s="393" t="s">
        <v>1400</v>
      </c>
      <c r="F104" s="398" t="s">
        <v>1695</v>
      </c>
      <c r="G104" s="393">
        <f t="shared" si="2"/>
        <v>13</v>
      </c>
      <c r="H104" s="397" t="str">
        <f t="shared" si="3"/>
        <v>SC</v>
      </c>
    </row>
    <row r="105" spans="1:8" s="394" customFormat="1">
      <c r="B105" s="393"/>
      <c r="C105" s="393"/>
      <c r="D105" s="393"/>
      <c r="E105" s="393"/>
      <c r="G105" s="393"/>
      <c r="H105" s="393"/>
    </row>
    <row r="106" spans="1:8" s="394" customFormat="1">
      <c r="A106" s="399" t="s">
        <v>1403</v>
      </c>
      <c r="B106" s="393"/>
      <c r="C106" s="393"/>
      <c r="D106" s="393"/>
      <c r="E106" s="393"/>
      <c r="G106" s="393"/>
      <c r="H106" s="393"/>
    </row>
    <row r="107" spans="1:8">
      <c r="B107" s="243"/>
      <c r="C107" s="243"/>
      <c r="D107" s="243"/>
      <c r="E107" s="243"/>
      <c r="G107" s="243"/>
      <c r="H107" s="243"/>
    </row>
    <row r="108" spans="1:8">
      <c r="B108" s="243"/>
      <c r="C108" s="243"/>
      <c r="D108" s="243"/>
      <c r="E108" s="243"/>
      <c r="G108" s="243"/>
      <c r="H108" s="243"/>
    </row>
  </sheetData>
  <hyperlinks>
    <hyperlink ref="A106" r:id="rId1"/>
  </hyperlinks>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H105"/>
  <sheetViews>
    <sheetView showGridLines="0" workbookViewId="0">
      <selection activeCell="F4" sqref="F4"/>
    </sheetView>
  </sheetViews>
  <sheetFormatPr defaultRowHeight="15.75"/>
  <cols>
    <col min="1" max="1" width="18.85546875" style="142" customWidth="1"/>
    <col min="2" max="5" width="9.140625" style="243"/>
    <col min="6" max="6" width="41.140625" style="142" customWidth="1"/>
    <col min="7" max="8" width="9.140625" style="243"/>
    <col min="9" max="16384" width="9.140625" style="142"/>
  </cols>
  <sheetData>
    <row r="1" spans="1:8" ht="23.25">
      <c r="A1" s="370" t="s">
        <v>1659</v>
      </c>
      <c r="E1" s="638" t="s">
        <v>2056</v>
      </c>
    </row>
    <row r="3" spans="1:8" s="394" customFormat="1">
      <c r="A3" s="392" t="s">
        <v>1402</v>
      </c>
      <c r="B3" s="393"/>
      <c r="C3" s="393"/>
      <c r="D3" s="393"/>
      <c r="E3" s="393"/>
      <c r="G3" s="393"/>
      <c r="H3" s="393"/>
    </row>
    <row r="4" spans="1:8" s="394" customFormat="1" ht="16.5" thickBot="1">
      <c r="A4" s="395" t="s">
        <v>177</v>
      </c>
      <c r="B4" s="396" t="s">
        <v>1084</v>
      </c>
      <c r="C4" s="396" t="s">
        <v>1085</v>
      </c>
      <c r="D4" s="396" t="s">
        <v>1086</v>
      </c>
      <c r="E4" s="396" t="s">
        <v>1087</v>
      </c>
      <c r="F4" s="395" t="s">
        <v>1088</v>
      </c>
      <c r="G4" s="396" t="s">
        <v>1660</v>
      </c>
      <c r="H4" s="396" t="s">
        <v>176</v>
      </c>
    </row>
    <row r="5" spans="1:8" s="394" customFormat="1">
      <c r="A5" s="394" t="s">
        <v>1089</v>
      </c>
      <c r="B5" s="393" t="s">
        <v>1090</v>
      </c>
      <c r="C5" s="393" t="s">
        <v>1091</v>
      </c>
      <c r="D5" s="393" t="s">
        <v>1092</v>
      </c>
      <c r="E5" s="393" t="s">
        <v>1093</v>
      </c>
      <c r="F5" s="394" t="s">
        <v>1094</v>
      </c>
      <c r="G5" s="397">
        <f>FIND(",",F5)</f>
        <v>8</v>
      </c>
      <c r="H5" s="393" t="str">
        <f>MID(F5,G5+2,2)</f>
        <v>TN</v>
      </c>
    </row>
    <row r="6" spans="1:8" s="394" customFormat="1">
      <c r="A6" s="394" t="s">
        <v>1095</v>
      </c>
      <c r="B6" s="393" t="s">
        <v>1096</v>
      </c>
      <c r="C6" s="393" t="s">
        <v>1097</v>
      </c>
      <c r="D6" s="393" t="s">
        <v>1098</v>
      </c>
      <c r="E6" s="393" t="s">
        <v>1099</v>
      </c>
      <c r="F6" s="394" t="s">
        <v>1100</v>
      </c>
      <c r="G6" s="397">
        <f t="shared" ref="G6:G69" si="0">FIND(",",F6)</f>
        <v>8</v>
      </c>
      <c r="H6" s="393" t="str">
        <f t="shared" ref="H6:H69" si="1">MID(F6,G6+2,2)</f>
        <v>GA</v>
      </c>
    </row>
    <row r="7" spans="1:8" s="394" customFormat="1">
      <c r="A7" s="394" t="s">
        <v>1101</v>
      </c>
      <c r="B7" s="393" t="s">
        <v>1096</v>
      </c>
      <c r="C7" s="393" t="s">
        <v>1102</v>
      </c>
      <c r="D7" s="393" t="s">
        <v>1103</v>
      </c>
      <c r="E7" s="393" t="s">
        <v>1104</v>
      </c>
      <c r="F7" s="394" t="s">
        <v>1105</v>
      </c>
      <c r="G7" s="397">
        <f t="shared" si="0"/>
        <v>13</v>
      </c>
      <c r="H7" s="393" t="str">
        <f t="shared" si="1"/>
        <v>GA</v>
      </c>
    </row>
    <row r="8" spans="1:8" s="394" customFormat="1">
      <c r="A8" s="394" t="s">
        <v>1106</v>
      </c>
      <c r="B8" s="393" t="s">
        <v>1107</v>
      </c>
      <c r="C8" s="393" t="s">
        <v>1108</v>
      </c>
      <c r="D8" s="393" t="s">
        <v>1109</v>
      </c>
      <c r="E8" s="393" t="s">
        <v>1110</v>
      </c>
      <c r="F8" s="394" t="s">
        <v>1111</v>
      </c>
      <c r="G8" s="397">
        <f t="shared" si="0"/>
        <v>13</v>
      </c>
      <c r="H8" s="393" t="str">
        <f t="shared" si="1"/>
        <v>FL</v>
      </c>
    </row>
    <row r="9" spans="1:8" s="394" customFormat="1">
      <c r="A9" s="394" t="s">
        <v>1112</v>
      </c>
      <c r="B9" s="393" t="s">
        <v>1113</v>
      </c>
      <c r="C9" s="393" t="s">
        <v>1102</v>
      </c>
      <c r="D9" s="393" t="s">
        <v>1103</v>
      </c>
      <c r="E9" s="393" t="s">
        <v>1114</v>
      </c>
      <c r="F9" s="394" t="s">
        <v>1115</v>
      </c>
      <c r="G9" s="397">
        <f t="shared" si="0"/>
        <v>9</v>
      </c>
      <c r="H9" s="393" t="str">
        <f t="shared" si="1"/>
        <v>GA</v>
      </c>
    </row>
    <row r="10" spans="1:8" s="394" customFormat="1">
      <c r="A10" s="394" t="s">
        <v>1116</v>
      </c>
      <c r="B10" s="393" t="s">
        <v>1117</v>
      </c>
      <c r="C10" s="393" t="s">
        <v>1091</v>
      </c>
      <c r="D10" s="393" t="s">
        <v>1092</v>
      </c>
      <c r="E10" s="393" t="s">
        <v>1118</v>
      </c>
      <c r="F10" s="394" t="s">
        <v>1119</v>
      </c>
      <c r="G10" s="397">
        <f t="shared" si="0"/>
        <v>13</v>
      </c>
      <c r="H10" s="393" t="str">
        <f t="shared" si="1"/>
        <v>GA</v>
      </c>
    </row>
    <row r="11" spans="1:8" s="394" customFormat="1">
      <c r="A11" s="394" t="s">
        <v>1120</v>
      </c>
      <c r="B11" s="393" t="s">
        <v>1117</v>
      </c>
      <c r="C11" s="393" t="s">
        <v>1102</v>
      </c>
      <c r="D11" s="393" t="s">
        <v>1103</v>
      </c>
      <c r="E11" s="393" t="s">
        <v>1121</v>
      </c>
      <c r="F11" s="394" t="s">
        <v>1122</v>
      </c>
      <c r="G11" s="397">
        <f t="shared" si="0"/>
        <v>9</v>
      </c>
      <c r="H11" s="393" t="str">
        <f t="shared" si="1"/>
        <v>MO</v>
      </c>
    </row>
    <row r="12" spans="1:8" s="394" customFormat="1">
      <c r="A12" s="394" t="s">
        <v>1123</v>
      </c>
      <c r="B12" s="393" t="s">
        <v>1124</v>
      </c>
      <c r="C12" s="393" t="s">
        <v>1097</v>
      </c>
      <c r="D12" s="393" t="s">
        <v>1098</v>
      </c>
      <c r="E12" s="393" t="s">
        <v>1125</v>
      </c>
      <c r="F12" s="394" t="s">
        <v>1126</v>
      </c>
      <c r="G12" s="397">
        <f t="shared" si="0"/>
        <v>6</v>
      </c>
      <c r="H12" s="393" t="str">
        <f t="shared" si="1"/>
        <v>FL</v>
      </c>
    </row>
    <row r="13" spans="1:8" s="394" customFormat="1">
      <c r="A13" s="394" t="s">
        <v>1127</v>
      </c>
      <c r="B13" s="393" t="s">
        <v>1128</v>
      </c>
      <c r="C13" s="393" t="s">
        <v>1102</v>
      </c>
      <c r="D13" s="393" t="s">
        <v>1103</v>
      </c>
      <c r="E13" s="393" t="s">
        <v>1129</v>
      </c>
      <c r="F13" s="394" t="s">
        <v>1130</v>
      </c>
      <c r="G13" s="397">
        <f t="shared" si="0"/>
        <v>12</v>
      </c>
      <c r="H13" s="393" t="str">
        <f t="shared" si="1"/>
        <v>SC</v>
      </c>
    </row>
    <row r="14" spans="1:8" s="394" customFormat="1">
      <c r="A14" s="394" t="s">
        <v>1131</v>
      </c>
      <c r="B14" s="393" t="s">
        <v>1107</v>
      </c>
      <c r="C14" s="393" t="s">
        <v>1108</v>
      </c>
      <c r="D14" s="393" t="s">
        <v>1109</v>
      </c>
      <c r="E14" s="393" t="s">
        <v>1132</v>
      </c>
      <c r="F14" s="394" t="s">
        <v>1100</v>
      </c>
      <c r="G14" s="397">
        <f t="shared" si="0"/>
        <v>8</v>
      </c>
      <c r="H14" s="393" t="str">
        <f t="shared" si="1"/>
        <v>GA</v>
      </c>
    </row>
    <row r="15" spans="1:8" s="394" customFormat="1">
      <c r="A15" s="394" t="s">
        <v>1133</v>
      </c>
      <c r="B15" s="393" t="s">
        <v>1096</v>
      </c>
      <c r="C15" s="393" t="s">
        <v>1091</v>
      </c>
      <c r="D15" s="393" t="s">
        <v>1092</v>
      </c>
      <c r="E15" s="393" t="s">
        <v>1134</v>
      </c>
      <c r="F15" s="394" t="s">
        <v>1135</v>
      </c>
      <c r="G15" s="397">
        <f t="shared" si="0"/>
        <v>11</v>
      </c>
      <c r="H15" s="393" t="str">
        <f t="shared" si="1"/>
        <v>VA</v>
      </c>
    </row>
    <row r="16" spans="1:8" s="394" customFormat="1">
      <c r="A16" s="394" t="s">
        <v>1136</v>
      </c>
      <c r="B16" s="393" t="s">
        <v>1117</v>
      </c>
      <c r="C16" s="393" t="s">
        <v>1091</v>
      </c>
      <c r="D16" s="393" t="s">
        <v>1092</v>
      </c>
      <c r="E16" s="393" t="s">
        <v>1137</v>
      </c>
      <c r="F16" s="394" t="s">
        <v>1126</v>
      </c>
      <c r="G16" s="397">
        <f t="shared" si="0"/>
        <v>6</v>
      </c>
      <c r="H16" s="393" t="str">
        <f t="shared" si="1"/>
        <v>FL</v>
      </c>
    </row>
    <row r="17" spans="1:8" s="394" customFormat="1">
      <c r="A17" s="394" t="s">
        <v>1138</v>
      </c>
      <c r="B17" s="393" t="s">
        <v>1128</v>
      </c>
      <c r="C17" s="393" t="s">
        <v>1097</v>
      </c>
      <c r="D17" s="393" t="s">
        <v>1098</v>
      </c>
      <c r="E17" s="393" t="s">
        <v>1139</v>
      </c>
      <c r="F17" s="394" t="s">
        <v>1140</v>
      </c>
      <c r="G17" s="397">
        <f t="shared" si="0"/>
        <v>11</v>
      </c>
      <c r="H17" s="393" t="str">
        <f t="shared" si="1"/>
        <v>GA</v>
      </c>
    </row>
    <row r="18" spans="1:8" s="394" customFormat="1">
      <c r="A18" s="394" t="s">
        <v>1141</v>
      </c>
      <c r="B18" s="393" t="s">
        <v>1142</v>
      </c>
      <c r="C18" s="393" t="s">
        <v>1102</v>
      </c>
      <c r="D18" s="393" t="s">
        <v>1103</v>
      </c>
      <c r="E18" s="393" t="s">
        <v>1143</v>
      </c>
      <c r="F18" s="394" t="s">
        <v>1144</v>
      </c>
      <c r="G18" s="397">
        <f t="shared" si="0"/>
        <v>7</v>
      </c>
      <c r="H18" s="393" t="str">
        <f t="shared" si="1"/>
        <v>GA</v>
      </c>
    </row>
    <row r="19" spans="1:8" s="394" customFormat="1">
      <c r="A19" s="394" t="s">
        <v>1145</v>
      </c>
      <c r="B19" s="393" t="s">
        <v>1128</v>
      </c>
      <c r="C19" s="393" t="s">
        <v>1097</v>
      </c>
      <c r="D19" s="393" t="s">
        <v>1098</v>
      </c>
      <c r="E19" s="393" t="s">
        <v>1146</v>
      </c>
      <c r="F19" s="394" t="s">
        <v>1147</v>
      </c>
      <c r="G19" s="397">
        <f t="shared" si="0"/>
        <v>7</v>
      </c>
      <c r="H19" s="393" t="str">
        <f t="shared" si="1"/>
        <v>GA</v>
      </c>
    </row>
    <row r="20" spans="1:8" s="394" customFormat="1">
      <c r="A20" s="394" t="s">
        <v>1148</v>
      </c>
      <c r="B20" s="393" t="s">
        <v>1128</v>
      </c>
      <c r="C20" s="393" t="s">
        <v>1091</v>
      </c>
      <c r="D20" s="393" t="s">
        <v>1149</v>
      </c>
      <c r="E20" s="393" t="s">
        <v>1150</v>
      </c>
      <c r="F20" s="394" t="s">
        <v>1151</v>
      </c>
      <c r="G20" s="397">
        <f t="shared" si="0"/>
        <v>8</v>
      </c>
      <c r="H20" s="393" t="str">
        <f t="shared" si="1"/>
        <v>TN</v>
      </c>
    </row>
    <row r="21" spans="1:8" s="394" customFormat="1">
      <c r="A21" s="394" t="s">
        <v>1152</v>
      </c>
      <c r="B21" s="393" t="s">
        <v>1128</v>
      </c>
      <c r="C21" s="393" t="s">
        <v>1108</v>
      </c>
      <c r="D21" s="393" t="s">
        <v>1153</v>
      </c>
      <c r="E21" s="393" t="s">
        <v>1154</v>
      </c>
      <c r="F21" s="394" t="s">
        <v>1155</v>
      </c>
      <c r="G21" s="397">
        <f t="shared" si="0"/>
        <v>8</v>
      </c>
      <c r="H21" s="393" t="str">
        <f t="shared" si="1"/>
        <v>GA</v>
      </c>
    </row>
    <row r="22" spans="1:8" s="394" customFormat="1">
      <c r="A22" s="394" t="s">
        <v>1156</v>
      </c>
      <c r="B22" s="393" t="s">
        <v>1107</v>
      </c>
      <c r="C22" s="393" t="s">
        <v>1108</v>
      </c>
      <c r="D22" s="393" t="s">
        <v>1098</v>
      </c>
      <c r="E22" s="393" t="s">
        <v>1132</v>
      </c>
      <c r="F22" s="394" t="s">
        <v>1157</v>
      </c>
      <c r="G22" s="397">
        <f t="shared" si="0"/>
        <v>6</v>
      </c>
      <c r="H22" s="393" t="str">
        <f t="shared" si="1"/>
        <v>(P</v>
      </c>
    </row>
    <row r="23" spans="1:8" s="394" customFormat="1">
      <c r="A23" s="394" t="s">
        <v>1158</v>
      </c>
      <c r="B23" s="393" t="s">
        <v>1128</v>
      </c>
      <c r="C23" s="393" t="s">
        <v>1097</v>
      </c>
      <c r="D23" s="393" t="s">
        <v>1098</v>
      </c>
      <c r="E23" s="393" t="s">
        <v>1159</v>
      </c>
      <c r="F23" s="394" t="s">
        <v>1160</v>
      </c>
      <c r="G23" s="397">
        <f t="shared" si="0"/>
        <v>13</v>
      </c>
      <c r="H23" s="393" t="str">
        <f t="shared" si="1"/>
        <v>FL</v>
      </c>
    </row>
    <row r="24" spans="1:8" s="394" customFormat="1">
      <c r="A24" s="394" t="s">
        <v>1161</v>
      </c>
      <c r="B24" s="393" t="s">
        <v>1107</v>
      </c>
      <c r="C24" s="393" t="s">
        <v>1097</v>
      </c>
      <c r="D24" s="393" t="s">
        <v>1098</v>
      </c>
      <c r="E24" s="393" t="s">
        <v>1162</v>
      </c>
      <c r="F24" s="394" t="s">
        <v>1163</v>
      </c>
      <c r="G24" s="397">
        <f t="shared" si="0"/>
        <v>14</v>
      </c>
      <c r="H24" s="393" t="str">
        <f t="shared" si="1"/>
        <v>GA</v>
      </c>
    </row>
    <row r="25" spans="1:8" s="394" customFormat="1">
      <c r="A25" s="394" t="s">
        <v>1164</v>
      </c>
      <c r="B25" s="393" t="s">
        <v>1096</v>
      </c>
      <c r="C25" s="393" t="s">
        <v>1097</v>
      </c>
      <c r="D25" s="393" t="s">
        <v>1098</v>
      </c>
      <c r="E25" s="393" t="s">
        <v>1165</v>
      </c>
      <c r="F25" s="394" t="s">
        <v>1166</v>
      </c>
      <c r="G25" s="397">
        <f t="shared" si="0"/>
        <v>8</v>
      </c>
      <c r="H25" s="393" t="str">
        <f t="shared" si="1"/>
        <v>GA</v>
      </c>
    </row>
    <row r="26" spans="1:8" s="394" customFormat="1">
      <c r="A26" s="394" t="s">
        <v>1167</v>
      </c>
      <c r="B26" s="393" t="s">
        <v>1168</v>
      </c>
      <c r="C26" s="393" t="s">
        <v>1102</v>
      </c>
      <c r="D26" s="393" t="s">
        <v>1103</v>
      </c>
      <c r="E26" s="393" t="s">
        <v>1169</v>
      </c>
      <c r="F26" s="394" t="s">
        <v>1170</v>
      </c>
      <c r="G26" s="397">
        <f t="shared" si="0"/>
        <v>13</v>
      </c>
      <c r="H26" s="393" t="str">
        <f t="shared" si="1"/>
        <v>GA</v>
      </c>
    </row>
    <row r="27" spans="1:8" s="394" customFormat="1">
      <c r="A27" s="394" t="s">
        <v>1171</v>
      </c>
      <c r="B27" s="393" t="s">
        <v>1096</v>
      </c>
      <c r="C27" s="393" t="s">
        <v>1108</v>
      </c>
      <c r="D27" s="393" t="s">
        <v>1109</v>
      </c>
      <c r="E27" s="393" t="s">
        <v>1172</v>
      </c>
      <c r="F27" s="394" t="s">
        <v>1173</v>
      </c>
      <c r="G27" s="397">
        <f t="shared" si="0"/>
        <v>7</v>
      </c>
      <c r="H27" s="393" t="str">
        <f t="shared" si="1"/>
        <v>SC</v>
      </c>
    </row>
    <row r="28" spans="1:8" s="394" customFormat="1">
      <c r="A28" s="394" t="s">
        <v>1174</v>
      </c>
      <c r="B28" s="393" t="s">
        <v>1107</v>
      </c>
      <c r="C28" s="393" t="s">
        <v>1102</v>
      </c>
      <c r="D28" s="393" t="s">
        <v>1175</v>
      </c>
      <c r="E28" s="393" t="s">
        <v>1176</v>
      </c>
      <c r="F28" s="394" t="s">
        <v>1177</v>
      </c>
      <c r="G28" s="397">
        <f t="shared" si="0"/>
        <v>10</v>
      </c>
      <c r="H28" s="393" t="str">
        <f t="shared" si="1"/>
        <v>SC</v>
      </c>
    </row>
    <row r="29" spans="1:8" s="394" customFormat="1">
      <c r="A29" s="394" t="s">
        <v>1178</v>
      </c>
      <c r="B29" s="393" t="s">
        <v>1179</v>
      </c>
      <c r="C29" s="393" t="s">
        <v>1097</v>
      </c>
      <c r="D29" s="393" t="s">
        <v>1098</v>
      </c>
      <c r="E29" s="393" t="s">
        <v>1114</v>
      </c>
      <c r="F29" s="394" t="s">
        <v>1180</v>
      </c>
      <c r="G29" s="397">
        <f t="shared" si="0"/>
        <v>10</v>
      </c>
      <c r="H29" s="393" t="str">
        <f t="shared" si="1"/>
        <v>GA</v>
      </c>
    </row>
    <row r="30" spans="1:8" s="394" customFormat="1">
      <c r="A30" s="394" t="s">
        <v>1181</v>
      </c>
      <c r="B30" s="393" t="s">
        <v>1096</v>
      </c>
      <c r="C30" s="393" t="s">
        <v>1108</v>
      </c>
      <c r="D30" s="393" t="s">
        <v>1153</v>
      </c>
      <c r="E30" s="393" t="s">
        <v>1182</v>
      </c>
      <c r="F30" s="394" t="s">
        <v>1183</v>
      </c>
      <c r="G30" s="397">
        <f t="shared" si="0"/>
        <v>9</v>
      </c>
      <c r="H30" s="393" t="str">
        <f t="shared" si="1"/>
        <v>GA</v>
      </c>
    </row>
    <row r="31" spans="1:8" s="394" customFormat="1">
      <c r="A31" s="394" t="s">
        <v>1184</v>
      </c>
      <c r="B31" s="393" t="s">
        <v>1113</v>
      </c>
      <c r="C31" s="393" t="s">
        <v>1097</v>
      </c>
      <c r="D31" s="393" t="s">
        <v>1098</v>
      </c>
      <c r="E31" s="393" t="s">
        <v>1185</v>
      </c>
      <c r="F31" s="394" t="s">
        <v>1186</v>
      </c>
      <c r="G31" s="397">
        <f t="shared" si="0"/>
        <v>9</v>
      </c>
      <c r="H31" s="393" t="str">
        <f t="shared" si="1"/>
        <v>GA</v>
      </c>
    </row>
    <row r="32" spans="1:8" s="394" customFormat="1">
      <c r="A32" s="394" t="s">
        <v>1187</v>
      </c>
      <c r="B32" s="393" t="s">
        <v>1128</v>
      </c>
      <c r="C32" s="393" t="s">
        <v>1102</v>
      </c>
      <c r="D32" s="393" t="s">
        <v>1103</v>
      </c>
      <c r="E32" s="393" t="s">
        <v>1188</v>
      </c>
      <c r="F32" s="394" t="s">
        <v>1189</v>
      </c>
      <c r="G32" s="397">
        <f t="shared" si="0"/>
        <v>7</v>
      </c>
      <c r="H32" s="393" t="str">
        <f t="shared" si="1"/>
        <v>GA</v>
      </c>
    </row>
    <row r="33" spans="1:8" s="394" customFormat="1">
      <c r="A33" s="394" t="s">
        <v>1190</v>
      </c>
      <c r="B33" s="393" t="s">
        <v>1107</v>
      </c>
      <c r="C33" s="393" t="s">
        <v>1097</v>
      </c>
      <c r="D33" s="393" t="s">
        <v>1098</v>
      </c>
      <c r="E33" s="393" t="s">
        <v>1191</v>
      </c>
      <c r="F33" s="394" t="s">
        <v>1192</v>
      </c>
      <c r="G33" s="397">
        <f t="shared" si="0"/>
        <v>10</v>
      </c>
      <c r="H33" s="393" t="str">
        <f t="shared" si="1"/>
        <v>NC</v>
      </c>
    </row>
    <row r="34" spans="1:8" s="394" customFormat="1">
      <c r="A34" s="394" t="s">
        <v>1193</v>
      </c>
      <c r="B34" s="393" t="s">
        <v>1096</v>
      </c>
      <c r="C34" s="393" t="s">
        <v>1102</v>
      </c>
      <c r="D34" s="393" t="s">
        <v>1103</v>
      </c>
      <c r="E34" s="393" t="s">
        <v>1194</v>
      </c>
      <c r="F34" s="394" t="s">
        <v>1195</v>
      </c>
      <c r="G34" s="397">
        <f t="shared" si="0"/>
        <v>9</v>
      </c>
      <c r="H34" s="393" t="str">
        <f t="shared" si="1"/>
        <v>GA</v>
      </c>
    </row>
    <row r="35" spans="1:8" s="394" customFormat="1">
      <c r="A35" s="394" t="s">
        <v>1196</v>
      </c>
      <c r="B35" s="393" t="s">
        <v>1113</v>
      </c>
      <c r="C35" s="393" t="s">
        <v>1097</v>
      </c>
      <c r="D35" s="393" t="s">
        <v>1098</v>
      </c>
      <c r="E35" s="393" t="s">
        <v>1197</v>
      </c>
      <c r="F35" s="394" t="s">
        <v>1198</v>
      </c>
      <c r="G35" s="397">
        <f t="shared" si="0"/>
        <v>11</v>
      </c>
      <c r="H35" s="393" t="str">
        <f t="shared" si="1"/>
        <v>FL</v>
      </c>
    </row>
    <row r="36" spans="1:8" s="394" customFormat="1">
      <c r="A36" s="394" t="s">
        <v>1199</v>
      </c>
      <c r="B36" s="393" t="s">
        <v>1107</v>
      </c>
      <c r="C36" s="393" t="s">
        <v>1108</v>
      </c>
      <c r="D36" s="393" t="s">
        <v>1153</v>
      </c>
      <c r="E36" s="393" t="s">
        <v>1165</v>
      </c>
      <c r="F36" s="394" t="s">
        <v>1200</v>
      </c>
      <c r="G36" s="397">
        <f t="shared" si="0"/>
        <v>14</v>
      </c>
      <c r="H36" s="393" t="str">
        <f t="shared" si="1"/>
        <v>GA</v>
      </c>
    </row>
    <row r="37" spans="1:8" s="394" customFormat="1">
      <c r="A37" s="394" t="s">
        <v>1201</v>
      </c>
      <c r="B37" s="393" t="s">
        <v>1202</v>
      </c>
      <c r="C37" s="393" t="s">
        <v>1102</v>
      </c>
      <c r="D37" s="393" t="s">
        <v>1103</v>
      </c>
      <c r="E37" s="393" t="s">
        <v>1203</v>
      </c>
      <c r="F37" s="394" t="s">
        <v>1204</v>
      </c>
      <c r="G37" s="397">
        <f t="shared" si="0"/>
        <v>10</v>
      </c>
      <c r="H37" s="393" t="str">
        <f t="shared" si="1"/>
        <v>CA</v>
      </c>
    </row>
    <row r="38" spans="1:8" s="394" customFormat="1">
      <c r="A38" s="394" t="s">
        <v>1205</v>
      </c>
      <c r="B38" s="393" t="s">
        <v>1113</v>
      </c>
      <c r="C38" s="393" t="s">
        <v>1108</v>
      </c>
      <c r="D38" s="393" t="s">
        <v>1153</v>
      </c>
      <c r="E38" s="393" t="s">
        <v>1206</v>
      </c>
      <c r="F38" s="394" t="s">
        <v>1207</v>
      </c>
      <c r="G38" s="397">
        <f t="shared" si="0"/>
        <v>8</v>
      </c>
      <c r="H38" s="393" t="str">
        <f t="shared" si="1"/>
        <v>GA</v>
      </c>
    </row>
    <row r="39" spans="1:8" s="394" customFormat="1">
      <c r="A39" s="394" t="s">
        <v>1208</v>
      </c>
      <c r="B39" s="393" t="s">
        <v>1209</v>
      </c>
      <c r="C39" s="393" t="s">
        <v>1091</v>
      </c>
      <c r="D39" s="393" t="s">
        <v>1092</v>
      </c>
      <c r="E39" s="393" t="s">
        <v>1210</v>
      </c>
      <c r="F39" s="394" t="s">
        <v>1211</v>
      </c>
      <c r="G39" s="397">
        <f t="shared" si="0"/>
        <v>12</v>
      </c>
      <c r="H39" s="393" t="str">
        <f t="shared" si="1"/>
        <v>GA</v>
      </c>
    </row>
    <row r="40" spans="1:8" s="394" customFormat="1">
      <c r="A40" s="394" t="s">
        <v>1212</v>
      </c>
      <c r="B40" s="393" t="s">
        <v>1209</v>
      </c>
      <c r="C40" s="393" t="s">
        <v>1108</v>
      </c>
      <c r="D40" s="393" t="s">
        <v>1109</v>
      </c>
      <c r="E40" s="393" t="s">
        <v>1213</v>
      </c>
      <c r="F40" s="394" t="s">
        <v>1214</v>
      </c>
      <c r="G40" s="397">
        <f t="shared" si="0"/>
        <v>11</v>
      </c>
      <c r="H40" s="393" t="str">
        <f t="shared" si="1"/>
        <v>GA</v>
      </c>
    </row>
    <row r="41" spans="1:8" s="394" customFormat="1">
      <c r="A41" s="394" t="s">
        <v>1215</v>
      </c>
      <c r="B41" s="393" t="s">
        <v>1107</v>
      </c>
      <c r="C41" s="393" t="s">
        <v>1091</v>
      </c>
      <c r="D41" s="393" t="s">
        <v>1092</v>
      </c>
      <c r="E41" s="393" t="s">
        <v>1216</v>
      </c>
      <c r="F41" s="394" t="s">
        <v>1217</v>
      </c>
      <c r="G41" s="397">
        <f t="shared" si="0"/>
        <v>8</v>
      </c>
      <c r="H41" s="393" t="str">
        <f t="shared" si="1"/>
        <v>GA</v>
      </c>
    </row>
    <row r="42" spans="1:8" s="394" customFormat="1">
      <c r="A42" s="394" t="s">
        <v>1218</v>
      </c>
      <c r="B42" s="393" t="s">
        <v>1209</v>
      </c>
      <c r="C42" s="393" t="s">
        <v>1108</v>
      </c>
      <c r="D42" s="393" t="s">
        <v>1153</v>
      </c>
      <c r="E42" s="393" t="s">
        <v>1219</v>
      </c>
      <c r="F42" s="394" t="s">
        <v>1220</v>
      </c>
      <c r="G42" s="397">
        <f t="shared" si="0"/>
        <v>13</v>
      </c>
      <c r="H42" s="393" t="str">
        <f t="shared" si="1"/>
        <v>MD</v>
      </c>
    </row>
    <row r="43" spans="1:8" s="394" customFormat="1">
      <c r="A43" s="394" t="s">
        <v>1221</v>
      </c>
      <c r="B43" s="393" t="s">
        <v>1222</v>
      </c>
      <c r="C43" s="393" t="s">
        <v>1102</v>
      </c>
      <c r="D43" s="393" t="s">
        <v>1103</v>
      </c>
      <c r="E43" s="393" t="s">
        <v>1223</v>
      </c>
      <c r="F43" s="394" t="s">
        <v>1224</v>
      </c>
      <c r="G43" s="397">
        <f t="shared" si="0"/>
        <v>15</v>
      </c>
      <c r="H43" s="393" t="str">
        <f t="shared" si="1"/>
        <v>MD</v>
      </c>
    </row>
    <row r="44" spans="1:8" s="394" customFormat="1">
      <c r="A44" s="394" t="s">
        <v>1225</v>
      </c>
      <c r="B44" s="393" t="s">
        <v>1107</v>
      </c>
      <c r="C44" s="393" t="s">
        <v>1102</v>
      </c>
      <c r="D44" s="393" t="s">
        <v>1103</v>
      </c>
      <c r="E44" s="393" t="s">
        <v>1132</v>
      </c>
      <c r="F44" s="394" t="s">
        <v>1226</v>
      </c>
      <c r="G44" s="397">
        <f t="shared" si="0"/>
        <v>11</v>
      </c>
      <c r="H44" s="393" t="str">
        <f t="shared" si="1"/>
        <v>GA</v>
      </c>
    </row>
    <row r="45" spans="1:8" s="394" customFormat="1">
      <c r="A45" s="394" t="s">
        <v>1227</v>
      </c>
      <c r="B45" s="393" t="s">
        <v>275</v>
      </c>
      <c r="C45" s="393" t="s">
        <v>1102</v>
      </c>
      <c r="D45" s="393" t="s">
        <v>1103</v>
      </c>
      <c r="E45" s="393" t="s">
        <v>1228</v>
      </c>
      <c r="F45" s="394" t="s">
        <v>1229</v>
      </c>
      <c r="G45" s="397">
        <f t="shared" si="0"/>
        <v>11</v>
      </c>
      <c r="H45" s="393" t="str">
        <f t="shared" si="1"/>
        <v>GA</v>
      </c>
    </row>
    <row r="46" spans="1:8" s="394" customFormat="1">
      <c r="A46" s="394" t="s">
        <v>1230</v>
      </c>
      <c r="B46" s="393" t="s">
        <v>1231</v>
      </c>
      <c r="C46" s="393" t="s">
        <v>1097</v>
      </c>
      <c r="D46" s="393" t="s">
        <v>1098</v>
      </c>
      <c r="E46" s="393" t="s">
        <v>1232</v>
      </c>
      <c r="F46" s="394" t="s">
        <v>1233</v>
      </c>
      <c r="G46" s="397">
        <f t="shared" si="0"/>
        <v>10</v>
      </c>
      <c r="H46" s="393" t="str">
        <f t="shared" si="1"/>
        <v>GA</v>
      </c>
    </row>
    <row r="47" spans="1:8" s="394" customFormat="1">
      <c r="A47" s="394" t="s">
        <v>1234</v>
      </c>
      <c r="B47" s="393" t="s">
        <v>1209</v>
      </c>
      <c r="C47" s="393" t="s">
        <v>1102</v>
      </c>
      <c r="D47" s="393" t="s">
        <v>1103</v>
      </c>
      <c r="E47" s="393" t="s">
        <v>1235</v>
      </c>
      <c r="F47" s="394" t="s">
        <v>1236</v>
      </c>
      <c r="G47" s="397">
        <f t="shared" si="0"/>
        <v>9</v>
      </c>
      <c r="H47" s="393" t="str">
        <f t="shared" si="1"/>
        <v>SC</v>
      </c>
    </row>
    <row r="48" spans="1:8" s="394" customFormat="1">
      <c r="A48" s="394" t="s">
        <v>1237</v>
      </c>
      <c r="B48" s="393" t="s">
        <v>275</v>
      </c>
      <c r="C48" s="393" t="s">
        <v>1108</v>
      </c>
      <c r="D48" s="393" t="s">
        <v>1109</v>
      </c>
      <c r="E48" s="393" t="s">
        <v>1238</v>
      </c>
      <c r="F48" s="394" t="s">
        <v>1239</v>
      </c>
      <c r="G48" s="397">
        <f t="shared" si="0"/>
        <v>10</v>
      </c>
      <c r="H48" s="393" t="str">
        <f t="shared" si="1"/>
        <v>GA</v>
      </c>
    </row>
    <row r="49" spans="1:8" s="394" customFormat="1">
      <c r="A49" s="394" t="s">
        <v>1240</v>
      </c>
      <c r="B49" s="393" t="s">
        <v>1231</v>
      </c>
      <c r="C49" s="393" t="s">
        <v>1102</v>
      </c>
      <c r="D49" s="393" t="s">
        <v>1098</v>
      </c>
      <c r="E49" s="393" t="s">
        <v>1241</v>
      </c>
      <c r="F49" s="394" t="s">
        <v>1147</v>
      </c>
      <c r="G49" s="397">
        <f t="shared" si="0"/>
        <v>7</v>
      </c>
      <c r="H49" s="393" t="str">
        <f t="shared" si="1"/>
        <v>GA</v>
      </c>
    </row>
    <row r="50" spans="1:8" s="394" customFormat="1">
      <c r="A50" s="394" t="s">
        <v>1242</v>
      </c>
      <c r="B50" s="393" t="s">
        <v>1222</v>
      </c>
      <c r="C50" s="393" t="s">
        <v>1097</v>
      </c>
      <c r="D50" s="393" t="s">
        <v>1098</v>
      </c>
      <c r="E50" s="393" t="s">
        <v>1243</v>
      </c>
      <c r="F50" s="394" t="s">
        <v>1115</v>
      </c>
      <c r="G50" s="397">
        <f t="shared" si="0"/>
        <v>9</v>
      </c>
      <c r="H50" s="393" t="str">
        <f t="shared" si="1"/>
        <v>GA</v>
      </c>
    </row>
    <row r="51" spans="1:8" s="394" customFormat="1">
      <c r="A51" s="394" t="s">
        <v>1244</v>
      </c>
      <c r="B51" s="393" t="s">
        <v>1128</v>
      </c>
      <c r="C51" s="393" t="s">
        <v>1108</v>
      </c>
      <c r="D51" s="393" t="s">
        <v>1103</v>
      </c>
      <c r="E51" s="393" t="s">
        <v>1245</v>
      </c>
      <c r="F51" s="394" t="s">
        <v>1246</v>
      </c>
      <c r="G51" s="397">
        <f t="shared" si="0"/>
        <v>13</v>
      </c>
      <c r="H51" s="393" t="str">
        <f t="shared" si="1"/>
        <v>GA</v>
      </c>
    </row>
    <row r="52" spans="1:8" s="394" customFormat="1">
      <c r="A52" s="394" t="s">
        <v>1247</v>
      </c>
      <c r="B52" s="393" t="s">
        <v>1209</v>
      </c>
      <c r="C52" s="393" t="s">
        <v>1097</v>
      </c>
      <c r="D52" s="393" t="s">
        <v>1098</v>
      </c>
      <c r="E52" s="393" t="s">
        <v>1248</v>
      </c>
      <c r="F52" s="394" t="s">
        <v>1249</v>
      </c>
      <c r="G52" s="397">
        <f t="shared" si="0"/>
        <v>12</v>
      </c>
      <c r="H52" s="393" t="str">
        <f t="shared" si="1"/>
        <v>GA</v>
      </c>
    </row>
    <row r="53" spans="1:8" s="394" customFormat="1">
      <c r="A53" s="394" t="s">
        <v>1250</v>
      </c>
      <c r="B53" s="393" t="s">
        <v>1231</v>
      </c>
      <c r="C53" s="393" t="s">
        <v>1108</v>
      </c>
      <c r="D53" s="393" t="s">
        <v>1153</v>
      </c>
      <c r="E53" s="393" t="s">
        <v>1251</v>
      </c>
      <c r="F53" s="394" t="s">
        <v>1252</v>
      </c>
      <c r="G53" s="397">
        <f t="shared" si="0"/>
        <v>9</v>
      </c>
      <c r="H53" s="393" t="str">
        <f t="shared" si="1"/>
        <v>GA</v>
      </c>
    </row>
    <row r="54" spans="1:8" s="394" customFormat="1">
      <c r="A54" s="394" t="s">
        <v>1253</v>
      </c>
      <c r="B54" s="393" t="s">
        <v>1231</v>
      </c>
      <c r="C54" s="393" t="s">
        <v>1108</v>
      </c>
      <c r="D54" s="393" t="s">
        <v>1153</v>
      </c>
      <c r="E54" s="393" t="s">
        <v>1254</v>
      </c>
      <c r="F54" s="394" t="s">
        <v>1255</v>
      </c>
      <c r="G54" s="397">
        <f t="shared" si="0"/>
        <v>14</v>
      </c>
      <c r="H54" s="393" t="str">
        <f t="shared" si="1"/>
        <v>FL</v>
      </c>
    </row>
    <row r="55" spans="1:8" s="394" customFormat="1">
      <c r="A55" s="394" t="s">
        <v>1256</v>
      </c>
      <c r="B55" s="393" t="s">
        <v>1222</v>
      </c>
      <c r="C55" s="393" t="s">
        <v>1108</v>
      </c>
      <c r="D55" s="393" t="s">
        <v>1153</v>
      </c>
      <c r="E55" s="393" t="s">
        <v>1257</v>
      </c>
      <c r="F55" s="394" t="s">
        <v>1226</v>
      </c>
      <c r="G55" s="397">
        <f t="shared" si="0"/>
        <v>11</v>
      </c>
      <c r="H55" s="393" t="str">
        <f t="shared" si="1"/>
        <v>GA</v>
      </c>
    </row>
    <row r="56" spans="1:8" s="394" customFormat="1">
      <c r="A56" s="394" t="s">
        <v>1258</v>
      </c>
      <c r="B56" s="393" t="s">
        <v>1222</v>
      </c>
      <c r="C56" s="393" t="s">
        <v>1108</v>
      </c>
      <c r="D56" s="393" t="s">
        <v>1153</v>
      </c>
      <c r="E56" s="393" t="s">
        <v>1259</v>
      </c>
      <c r="F56" s="394" t="s">
        <v>1260</v>
      </c>
      <c r="G56" s="397">
        <f t="shared" si="0"/>
        <v>8</v>
      </c>
      <c r="H56" s="393" t="str">
        <f t="shared" si="1"/>
        <v>GA</v>
      </c>
    </row>
    <row r="57" spans="1:8" s="394" customFormat="1">
      <c r="A57" s="394" t="s">
        <v>1261</v>
      </c>
      <c r="B57" s="393" t="s">
        <v>1209</v>
      </c>
      <c r="C57" s="393" t="s">
        <v>1108</v>
      </c>
      <c r="D57" s="393" t="s">
        <v>1153</v>
      </c>
      <c r="E57" s="393" t="s">
        <v>1262</v>
      </c>
      <c r="F57" s="394" t="s">
        <v>1263</v>
      </c>
      <c r="G57" s="397">
        <f t="shared" si="0"/>
        <v>12</v>
      </c>
      <c r="H57" s="393" t="str">
        <f t="shared" si="1"/>
        <v>GA</v>
      </c>
    </row>
    <row r="58" spans="1:8" s="394" customFormat="1">
      <c r="A58" s="394" t="s">
        <v>1264</v>
      </c>
      <c r="B58" s="393" t="s">
        <v>275</v>
      </c>
      <c r="C58" s="393" t="s">
        <v>1097</v>
      </c>
      <c r="D58" s="393" t="s">
        <v>1098</v>
      </c>
      <c r="E58" s="393" t="s">
        <v>1265</v>
      </c>
      <c r="F58" s="394" t="s">
        <v>1266</v>
      </c>
      <c r="G58" s="397">
        <f t="shared" si="0"/>
        <v>15</v>
      </c>
      <c r="H58" s="393" t="str">
        <f t="shared" si="1"/>
        <v>FL</v>
      </c>
    </row>
    <row r="59" spans="1:8" s="394" customFormat="1">
      <c r="A59" s="394" t="s">
        <v>1267</v>
      </c>
      <c r="B59" s="393" t="s">
        <v>1268</v>
      </c>
      <c r="C59" s="393" t="s">
        <v>1102</v>
      </c>
      <c r="D59" s="393" t="s">
        <v>1103</v>
      </c>
      <c r="E59" s="393" t="s">
        <v>1269</v>
      </c>
      <c r="F59" s="394" t="s">
        <v>1270</v>
      </c>
      <c r="G59" s="397">
        <f t="shared" si="0"/>
        <v>10</v>
      </c>
      <c r="H59" s="393" t="str">
        <f t="shared" si="1"/>
        <v>GA</v>
      </c>
    </row>
    <row r="60" spans="1:8" s="394" customFormat="1">
      <c r="A60" s="394" t="s">
        <v>1271</v>
      </c>
      <c r="B60" s="393" t="s">
        <v>1090</v>
      </c>
      <c r="C60" s="393" t="s">
        <v>1091</v>
      </c>
      <c r="D60" s="393" t="s">
        <v>1092</v>
      </c>
      <c r="E60" s="393" t="s">
        <v>1272</v>
      </c>
      <c r="F60" s="394" t="s">
        <v>1273</v>
      </c>
      <c r="G60" s="397">
        <f t="shared" si="0"/>
        <v>9</v>
      </c>
      <c r="H60" s="393" t="str">
        <f t="shared" si="1"/>
        <v>GA</v>
      </c>
    </row>
    <row r="61" spans="1:8" s="394" customFormat="1">
      <c r="A61" s="394" t="s">
        <v>1274</v>
      </c>
      <c r="B61" s="393" t="s">
        <v>1209</v>
      </c>
      <c r="C61" s="393" t="s">
        <v>1097</v>
      </c>
      <c r="D61" s="393" t="s">
        <v>1098</v>
      </c>
      <c r="E61" s="393" t="s">
        <v>1132</v>
      </c>
      <c r="F61" s="394" t="s">
        <v>1275</v>
      </c>
      <c r="G61" s="397">
        <f t="shared" si="0"/>
        <v>9</v>
      </c>
      <c r="H61" s="393" t="str">
        <f t="shared" si="1"/>
        <v>GA</v>
      </c>
    </row>
    <row r="62" spans="1:8" s="394" customFormat="1">
      <c r="A62" s="394" t="s">
        <v>1276</v>
      </c>
      <c r="B62" s="393" t="s">
        <v>1277</v>
      </c>
      <c r="C62" s="393" t="s">
        <v>1108</v>
      </c>
      <c r="D62" s="393" t="s">
        <v>1109</v>
      </c>
      <c r="E62" s="393" t="s">
        <v>1278</v>
      </c>
      <c r="F62" s="394" t="s">
        <v>1279</v>
      </c>
      <c r="G62" s="397">
        <f t="shared" si="0"/>
        <v>15</v>
      </c>
      <c r="H62" s="393" t="str">
        <f t="shared" si="1"/>
        <v>FL</v>
      </c>
    </row>
    <row r="63" spans="1:8" s="394" customFormat="1">
      <c r="A63" s="394" t="s">
        <v>1280</v>
      </c>
      <c r="B63" s="393" t="s">
        <v>1202</v>
      </c>
      <c r="C63" s="393" t="s">
        <v>1102</v>
      </c>
      <c r="D63" s="393" t="s">
        <v>1103</v>
      </c>
      <c r="E63" s="393" t="s">
        <v>1281</v>
      </c>
      <c r="F63" s="394" t="s">
        <v>1282</v>
      </c>
      <c r="G63" s="397">
        <f t="shared" si="0"/>
        <v>11</v>
      </c>
      <c r="H63" s="393" t="str">
        <f t="shared" si="1"/>
        <v>FL</v>
      </c>
    </row>
    <row r="64" spans="1:8" s="394" customFormat="1">
      <c r="A64" s="394" t="s">
        <v>1283</v>
      </c>
      <c r="B64" s="393" t="s">
        <v>275</v>
      </c>
      <c r="C64" s="393" t="s">
        <v>1108</v>
      </c>
      <c r="D64" s="393" t="s">
        <v>1153</v>
      </c>
      <c r="E64" s="393" t="s">
        <v>1284</v>
      </c>
      <c r="F64" s="394" t="s">
        <v>1285</v>
      </c>
      <c r="G64" s="397">
        <f t="shared" si="0"/>
        <v>9</v>
      </c>
      <c r="H64" s="393" t="str">
        <f t="shared" si="1"/>
        <v>GA</v>
      </c>
    </row>
    <row r="65" spans="1:8" s="394" customFormat="1">
      <c r="A65" s="394" t="s">
        <v>1286</v>
      </c>
      <c r="B65" s="393" t="s">
        <v>1090</v>
      </c>
      <c r="C65" s="393" t="s">
        <v>1108</v>
      </c>
      <c r="D65" s="393" t="s">
        <v>1153</v>
      </c>
      <c r="E65" s="393" t="s">
        <v>1287</v>
      </c>
      <c r="F65" s="394" t="s">
        <v>1288</v>
      </c>
      <c r="G65" s="397">
        <f t="shared" si="0"/>
        <v>8</v>
      </c>
      <c r="H65" s="393" t="str">
        <f t="shared" si="1"/>
        <v>GA</v>
      </c>
    </row>
    <row r="66" spans="1:8" s="394" customFormat="1">
      <c r="A66" s="394" t="s">
        <v>1289</v>
      </c>
      <c r="B66" s="393" t="s">
        <v>1290</v>
      </c>
      <c r="C66" s="393" t="s">
        <v>1108</v>
      </c>
      <c r="D66" s="393" t="s">
        <v>1153</v>
      </c>
      <c r="E66" s="393" t="s">
        <v>1291</v>
      </c>
      <c r="F66" s="394" t="s">
        <v>1292</v>
      </c>
      <c r="G66" s="397">
        <f t="shared" si="0"/>
        <v>11</v>
      </c>
      <c r="H66" s="393" t="str">
        <f t="shared" si="1"/>
        <v>GA</v>
      </c>
    </row>
    <row r="67" spans="1:8" s="394" customFormat="1">
      <c r="A67" s="394" t="s">
        <v>1293</v>
      </c>
      <c r="B67" s="393" t="s">
        <v>15</v>
      </c>
      <c r="C67" s="393" t="s">
        <v>1102</v>
      </c>
      <c r="D67" s="393" t="s">
        <v>1103</v>
      </c>
      <c r="E67" s="393" t="s">
        <v>1294</v>
      </c>
      <c r="F67" s="394" t="s">
        <v>1295</v>
      </c>
      <c r="G67" s="397">
        <f t="shared" si="0"/>
        <v>12</v>
      </c>
      <c r="H67" s="393" t="str">
        <f t="shared" si="1"/>
        <v>AL</v>
      </c>
    </row>
    <row r="68" spans="1:8" s="394" customFormat="1">
      <c r="A68" s="394" t="s">
        <v>1296</v>
      </c>
      <c r="B68" s="393" t="s">
        <v>1268</v>
      </c>
      <c r="C68" s="393" t="s">
        <v>1108</v>
      </c>
      <c r="D68" s="393" t="s">
        <v>1153</v>
      </c>
      <c r="E68" s="393" t="s">
        <v>1297</v>
      </c>
      <c r="F68" s="394" t="s">
        <v>1298</v>
      </c>
      <c r="G68" s="397">
        <f t="shared" si="0"/>
        <v>10</v>
      </c>
      <c r="H68" s="393" t="str">
        <f t="shared" si="1"/>
        <v>GA</v>
      </c>
    </row>
    <row r="69" spans="1:8" s="394" customFormat="1">
      <c r="A69" s="394" t="s">
        <v>1299</v>
      </c>
      <c r="B69" s="393" t="s">
        <v>275</v>
      </c>
      <c r="C69" s="393" t="s">
        <v>1102</v>
      </c>
      <c r="D69" s="393" t="s">
        <v>1103</v>
      </c>
      <c r="E69" s="393" t="s">
        <v>1300</v>
      </c>
      <c r="F69" s="394" t="s">
        <v>1301</v>
      </c>
      <c r="G69" s="397">
        <f t="shared" si="0"/>
        <v>7</v>
      </c>
      <c r="H69" s="393" t="str">
        <f t="shared" si="1"/>
        <v>LA</v>
      </c>
    </row>
    <row r="70" spans="1:8" s="394" customFormat="1">
      <c r="A70" s="394" t="s">
        <v>1302</v>
      </c>
      <c r="B70" s="393" t="s">
        <v>15</v>
      </c>
      <c r="C70" s="393" t="s">
        <v>1091</v>
      </c>
      <c r="D70" s="393" t="s">
        <v>1092</v>
      </c>
      <c r="E70" s="393" t="s">
        <v>1297</v>
      </c>
      <c r="F70" s="394" t="s">
        <v>1303</v>
      </c>
      <c r="G70" s="397">
        <f t="shared" ref="G70:G103" si="2">FIND(",",F70)</f>
        <v>7</v>
      </c>
      <c r="H70" s="393" t="str">
        <f t="shared" ref="H70:H103" si="3">MID(F70,G70+2,2)</f>
        <v>GA</v>
      </c>
    </row>
    <row r="71" spans="1:8" s="394" customFormat="1">
      <c r="A71" s="394" t="s">
        <v>1304</v>
      </c>
      <c r="B71" s="393" t="s">
        <v>1090</v>
      </c>
      <c r="C71" s="393" t="s">
        <v>1097</v>
      </c>
      <c r="D71" s="393" t="s">
        <v>1098</v>
      </c>
      <c r="E71" s="393" t="s">
        <v>1305</v>
      </c>
      <c r="F71" s="394" t="s">
        <v>1306</v>
      </c>
      <c r="G71" s="397">
        <f t="shared" si="2"/>
        <v>13</v>
      </c>
      <c r="H71" s="393" t="str">
        <f t="shared" si="3"/>
        <v>AL</v>
      </c>
    </row>
    <row r="72" spans="1:8" s="394" customFormat="1">
      <c r="A72" s="394" t="s">
        <v>1307</v>
      </c>
      <c r="B72" s="393" t="s">
        <v>275</v>
      </c>
      <c r="C72" s="393" t="s">
        <v>1102</v>
      </c>
      <c r="D72" s="393" t="s">
        <v>1098</v>
      </c>
      <c r="E72" s="393" t="s">
        <v>1308</v>
      </c>
      <c r="F72" s="394" t="s">
        <v>1309</v>
      </c>
      <c r="G72" s="397">
        <f t="shared" si="2"/>
        <v>7</v>
      </c>
      <c r="H72" s="393" t="str">
        <f t="shared" si="3"/>
        <v>GA</v>
      </c>
    </row>
    <row r="73" spans="1:8" s="394" customFormat="1">
      <c r="A73" s="394" t="s">
        <v>1310</v>
      </c>
      <c r="B73" s="393" t="s">
        <v>1311</v>
      </c>
      <c r="C73" s="393" t="s">
        <v>1091</v>
      </c>
      <c r="D73" s="393" t="s">
        <v>1092</v>
      </c>
      <c r="E73" s="393" t="s">
        <v>1312</v>
      </c>
      <c r="F73" s="394" t="s">
        <v>1313</v>
      </c>
      <c r="G73" s="397">
        <f t="shared" si="2"/>
        <v>9</v>
      </c>
      <c r="H73" s="393" t="str">
        <f t="shared" si="3"/>
        <v>GA</v>
      </c>
    </row>
    <row r="74" spans="1:8" s="394" customFormat="1">
      <c r="A74" s="394" t="s">
        <v>1314</v>
      </c>
      <c r="B74" s="393" t="s">
        <v>1090</v>
      </c>
      <c r="C74" s="393" t="s">
        <v>1097</v>
      </c>
      <c r="D74" s="393" t="s">
        <v>1098</v>
      </c>
      <c r="E74" s="393" t="s">
        <v>1315</v>
      </c>
      <c r="F74" s="394" t="s">
        <v>1316</v>
      </c>
      <c r="G74" s="397">
        <f t="shared" si="2"/>
        <v>11</v>
      </c>
      <c r="H74" s="393" t="str">
        <f t="shared" si="3"/>
        <v>GA</v>
      </c>
    </row>
    <row r="75" spans="1:8" s="394" customFormat="1">
      <c r="A75" s="394" t="s">
        <v>1317</v>
      </c>
      <c r="B75" s="393" t="s">
        <v>1290</v>
      </c>
      <c r="C75" s="393" t="s">
        <v>1102</v>
      </c>
      <c r="D75" s="393" t="s">
        <v>1103</v>
      </c>
      <c r="E75" s="393" t="s">
        <v>1318</v>
      </c>
      <c r="F75" s="394" t="s">
        <v>1319</v>
      </c>
      <c r="G75" s="397">
        <f t="shared" si="2"/>
        <v>10</v>
      </c>
      <c r="H75" s="393" t="str">
        <f t="shared" si="3"/>
        <v>GA</v>
      </c>
    </row>
    <row r="76" spans="1:8" s="394" customFormat="1">
      <c r="A76" s="394" t="s">
        <v>1320</v>
      </c>
      <c r="B76" s="393" t="s">
        <v>1290</v>
      </c>
      <c r="C76" s="393" t="s">
        <v>1108</v>
      </c>
      <c r="D76" s="393" t="s">
        <v>1109</v>
      </c>
      <c r="E76" s="393" t="s">
        <v>1321</v>
      </c>
      <c r="F76" s="394" t="s">
        <v>1322</v>
      </c>
      <c r="G76" s="397">
        <f t="shared" si="2"/>
        <v>11</v>
      </c>
      <c r="H76" s="393" t="str">
        <f t="shared" si="3"/>
        <v>GA</v>
      </c>
    </row>
    <row r="77" spans="1:8" s="394" customFormat="1">
      <c r="A77" s="394" t="s">
        <v>1323</v>
      </c>
      <c r="B77" s="393" t="s">
        <v>275</v>
      </c>
      <c r="C77" s="393" t="s">
        <v>1108</v>
      </c>
      <c r="D77" s="393" t="s">
        <v>1153</v>
      </c>
      <c r="E77" s="393" t="s">
        <v>1324</v>
      </c>
      <c r="F77" s="394" t="s">
        <v>1325</v>
      </c>
      <c r="G77" s="397">
        <f t="shared" si="2"/>
        <v>8</v>
      </c>
      <c r="H77" s="393" t="str">
        <f t="shared" si="3"/>
        <v>GA</v>
      </c>
    </row>
    <row r="78" spans="1:8" s="394" customFormat="1">
      <c r="A78" s="394" t="s">
        <v>1326</v>
      </c>
      <c r="B78" s="393" t="s">
        <v>1268</v>
      </c>
      <c r="C78" s="393" t="s">
        <v>1102</v>
      </c>
      <c r="D78" s="393" t="s">
        <v>1103</v>
      </c>
      <c r="E78" s="393" t="s">
        <v>1327</v>
      </c>
      <c r="F78" s="394" t="s">
        <v>1328</v>
      </c>
      <c r="G78" s="397">
        <f t="shared" si="2"/>
        <v>6</v>
      </c>
      <c r="H78" s="393" t="str">
        <f t="shared" si="3"/>
        <v>GA</v>
      </c>
    </row>
    <row r="79" spans="1:8" s="394" customFormat="1">
      <c r="A79" s="394" t="s">
        <v>1329</v>
      </c>
      <c r="B79" s="393" t="s">
        <v>1290</v>
      </c>
      <c r="C79" s="393" t="s">
        <v>1097</v>
      </c>
      <c r="D79" s="393" t="s">
        <v>1103</v>
      </c>
      <c r="E79" s="393" t="s">
        <v>1330</v>
      </c>
      <c r="F79" s="394" t="s">
        <v>1331</v>
      </c>
      <c r="G79" s="397">
        <f t="shared" si="2"/>
        <v>10</v>
      </c>
      <c r="H79" s="393" t="str">
        <f t="shared" si="3"/>
        <v>NC</v>
      </c>
    </row>
    <row r="80" spans="1:8" s="394" customFormat="1">
      <c r="A80" s="394" t="s">
        <v>1332</v>
      </c>
      <c r="B80" s="393" t="s">
        <v>1290</v>
      </c>
      <c r="C80" s="393" t="s">
        <v>1108</v>
      </c>
      <c r="D80" s="393" t="s">
        <v>1153</v>
      </c>
      <c r="E80" s="393" t="s">
        <v>1333</v>
      </c>
      <c r="F80" s="394" t="s">
        <v>1334</v>
      </c>
      <c r="G80" s="397">
        <f t="shared" si="2"/>
        <v>7</v>
      </c>
      <c r="H80" s="393" t="str">
        <f t="shared" si="3"/>
        <v>MS</v>
      </c>
    </row>
    <row r="81" spans="1:8" s="394" customFormat="1">
      <c r="A81" s="394" t="s">
        <v>1335</v>
      </c>
      <c r="B81" s="393" t="s">
        <v>1268</v>
      </c>
      <c r="C81" s="393" t="s">
        <v>1102</v>
      </c>
      <c r="D81" s="393" t="s">
        <v>1103</v>
      </c>
      <c r="E81" s="393" t="s">
        <v>1336</v>
      </c>
      <c r="F81" s="394" t="s">
        <v>1337</v>
      </c>
      <c r="G81" s="397">
        <f t="shared" si="2"/>
        <v>7</v>
      </c>
      <c r="H81" s="393" t="str">
        <f t="shared" si="3"/>
        <v>GA</v>
      </c>
    </row>
    <row r="82" spans="1:8" s="394" customFormat="1">
      <c r="A82" s="394" t="s">
        <v>1338</v>
      </c>
      <c r="B82" s="393" t="s">
        <v>1128</v>
      </c>
      <c r="C82" s="393" t="s">
        <v>1102</v>
      </c>
      <c r="D82" s="393" t="s">
        <v>1103</v>
      </c>
      <c r="E82" s="393" t="s">
        <v>1110</v>
      </c>
      <c r="F82" s="394" t="s">
        <v>1339</v>
      </c>
      <c r="G82" s="397">
        <f t="shared" si="2"/>
        <v>7</v>
      </c>
      <c r="H82" s="393" t="str">
        <f t="shared" si="3"/>
        <v>CT</v>
      </c>
    </row>
    <row r="83" spans="1:8" s="394" customFormat="1">
      <c r="A83" s="394" t="s">
        <v>1340</v>
      </c>
      <c r="B83" s="393" t="s">
        <v>1124</v>
      </c>
      <c r="C83" s="393" t="s">
        <v>1102</v>
      </c>
      <c r="D83" s="393" t="s">
        <v>1103</v>
      </c>
      <c r="E83" s="393" t="s">
        <v>1341</v>
      </c>
      <c r="F83" s="394" t="s">
        <v>1122</v>
      </c>
      <c r="G83" s="397">
        <f t="shared" si="2"/>
        <v>9</v>
      </c>
      <c r="H83" s="393" t="str">
        <f t="shared" si="3"/>
        <v>MO</v>
      </c>
    </row>
    <row r="84" spans="1:8" s="394" customFormat="1">
      <c r="A84" s="394" t="s">
        <v>1342</v>
      </c>
      <c r="B84" s="393" t="s">
        <v>1128</v>
      </c>
      <c r="C84" s="393" t="s">
        <v>1108</v>
      </c>
      <c r="D84" s="393" t="s">
        <v>1153</v>
      </c>
      <c r="E84" s="393" t="s">
        <v>1343</v>
      </c>
      <c r="F84" s="394" t="s">
        <v>1344</v>
      </c>
      <c r="G84" s="397">
        <f t="shared" si="2"/>
        <v>16</v>
      </c>
      <c r="H84" s="393" t="str">
        <f t="shared" si="3"/>
        <v>FL</v>
      </c>
    </row>
    <row r="85" spans="1:8" s="394" customFormat="1">
      <c r="A85" s="394" t="s">
        <v>1345</v>
      </c>
      <c r="B85" s="393" t="s">
        <v>275</v>
      </c>
      <c r="C85" s="393" t="s">
        <v>1097</v>
      </c>
      <c r="D85" s="393" t="s">
        <v>1098</v>
      </c>
      <c r="E85" s="393" t="s">
        <v>1346</v>
      </c>
      <c r="F85" s="394" t="s">
        <v>1347</v>
      </c>
      <c r="G85" s="397">
        <f t="shared" si="2"/>
        <v>10</v>
      </c>
      <c r="H85" s="393" t="str">
        <f t="shared" si="3"/>
        <v>GA</v>
      </c>
    </row>
    <row r="86" spans="1:8" s="394" customFormat="1">
      <c r="A86" s="394" t="s">
        <v>1348</v>
      </c>
      <c r="B86" s="393" t="s">
        <v>1124</v>
      </c>
      <c r="C86" s="393" t="s">
        <v>1091</v>
      </c>
      <c r="D86" s="393" t="s">
        <v>1092</v>
      </c>
      <c r="E86" s="393" t="s">
        <v>1349</v>
      </c>
      <c r="F86" s="394" t="s">
        <v>1350</v>
      </c>
      <c r="G86" s="397">
        <f t="shared" si="2"/>
        <v>9</v>
      </c>
      <c r="H86" s="393" t="str">
        <f t="shared" si="3"/>
        <v>GA</v>
      </c>
    </row>
    <row r="87" spans="1:8" s="394" customFormat="1">
      <c r="A87" s="394" t="s">
        <v>1351</v>
      </c>
      <c r="B87" s="393" t="s">
        <v>1277</v>
      </c>
      <c r="C87" s="393" t="s">
        <v>1091</v>
      </c>
      <c r="D87" s="393" t="s">
        <v>1092</v>
      </c>
      <c r="E87" s="393" t="s">
        <v>1297</v>
      </c>
      <c r="F87" s="394" t="s">
        <v>1352</v>
      </c>
      <c r="G87" s="397">
        <f t="shared" si="2"/>
        <v>9</v>
      </c>
      <c r="H87" s="393" t="str">
        <f t="shared" si="3"/>
        <v>GA</v>
      </c>
    </row>
    <row r="88" spans="1:8" s="394" customFormat="1">
      <c r="A88" s="394" t="s">
        <v>1353</v>
      </c>
      <c r="B88" s="393" t="s">
        <v>1124</v>
      </c>
      <c r="C88" s="393" t="s">
        <v>1108</v>
      </c>
      <c r="D88" s="393" t="s">
        <v>1098</v>
      </c>
      <c r="E88" s="393" t="s">
        <v>1354</v>
      </c>
      <c r="F88" s="394" t="s">
        <v>1355</v>
      </c>
      <c r="G88" s="397">
        <f t="shared" si="2"/>
        <v>12</v>
      </c>
      <c r="H88" s="393" t="str">
        <f t="shared" si="3"/>
        <v>GA</v>
      </c>
    </row>
    <row r="89" spans="1:8" s="394" customFormat="1">
      <c r="A89" s="394" t="s">
        <v>1356</v>
      </c>
      <c r="B89" s="393" t="s">
        <v>275</v>
      </c>
      <c r="C89" s="393" t="s">
        <v>1091</v>
      </c>
      <c r="D89" s="393" t="s">
        <v>1092</v>
      </c>
      <c r="E89" s="393" t="s">
        <v>1357</v>
      </c>
      <c r="F89" s="394" t="s">
        <v>1358</v>
      </c>
      <c r="G89" s="397">
        <f t="shared" si="2"/>
        <v>9</v>
      </c>
      <c r="H89" s="393" t="str">
        <f t="shared" si="3"/>
        <v>GA</v>
      </c>
    </row>
    <row r="90" spans="1:8" s="394" customFormat="1">
      <c r="A90" s="394" t="s">
        <v>1359</v>
      </c>
      <c r="B90" s="393" t="s">
        <v>1124</v>
      </c>
      <c r="C90" s="393" t="s">
        <v>1097</v>
      </c>
      <c r="D90" s="393" t="s">
        <v>1098</v>
      </c>
      <c r="E90" s="393" t="s">
        <v>1360</v>
      </c>
      <c r="F90" s="394" t="s">
        <v>1361</v>
      </c>
      <c r="G90" s="397">
        <f t="shared" si="2"/>
        <v>10</v>
      </c>
      <c r="H90" s="393" t="str">
        <f t="shared" si="3"/>
        <v>MA</v>
      </c>
    </row>
    <row r="91" spans="1:8" s="394" customFormat="1">
      <c r="A91" s="394" t="s">
        <v>1362</v>
      </c>
      <c r="B91" s="393" t="s">
        <v>1124</v>
      </c>
      <c r="C91" s="393" t="s">
        <v>1102</v>
      </c>
      <c r="D91" s="393" t="s">
        <v>1103</v>
      </c>
      <c r="E91" s="393" t="s">
        <v>1363</v>
      </c>
      <c r="F91" s="394" t="s">
        <v>1364</v>
      </c>
      <c r="G91" s="397">
        <f t="shared" si="2"/>
        <v>9</v>
      </c>
      <c r="H91" s="393" t="str">
        <f t="shared" si="3"/>
        <v>GA</v>
      </c>
    </row>
    <row r="92" spans="1:8" s="394" customFormat="1">
      <c r="A92" s="394" t="s">
        <v>1365</v>
      </c>
      <c r="B92" s="393" t="s">
        <v>275</v>
      </c>
      <c r="C92" s="393" t="s">
        <v>1091</v>
      </c>
      <c r="D92" s="393" t="s">
        <v>1092</v>
      </c>
      <c r="E92" s="393" t="s">
        <v>1360</v>
      </c>
      <c r="F92" s="394" t="s">
        <v>1366</v>
      </c>
      <c r="G92" s="397">
        <f t="shared" si="2"/>
        <v>5</v>
      </c>
      <c r="H92" s="393" t="str">
        <f t="shared" si="3"/>
        <v>IN</v>
      </c>
    </row>
    <row r="93" spans="1:8" s="394" customFormat="1">
      <c r="A93" s="394" t="s">
        <v>1367</v>
      </c>
      <c r="B93" s="393" t="s">
        <v>1277</v>
      </c>
      <c r="C93" s="393" t="s">
        <v>1108</v>
      </c>
      <c r="D93" s="393" t="s">
        <v>1109</v>
      </c>
      <c r="E93" s="393" t="s">
        <v>1368</v>
      </c>
      <c r="F93" s="394" t="s">
        <v>1369</v>
      </c>
      <c r="G93" s="397">
        <f t="shared" si="2"/>
        <v>9</v>
      </c>
      <c r="H93" s="393" t="str">
        <f t="shared" si="3"/>
        <v>NJ</v>
      </c>
    </row>
    <row r="94" spans="1:8" s="394" customFormat="1">
      <c r="A94" s="394" t="s">
        <v>1370</v>
      </c>
      <c r="B94" s="393" t="s">
        <v>1202</v>
      </c>
      <c r="C94" s="393" t="s">
        <v>1097</v>
      </c>
      <c r="D94" s="393" t="s">
        <v>1098</v>
      </c>
      <c r="E94" s="393" t="s">
        <v>1371</v>
      </c>
      <c r="F94" s="394" t="s">
        <v>1372</v>
      </c>
      <c r="G94" s="397">
        <f t="shared" si="2"/>
        <v>8</v>
      </c>
      <c r="H94" s="393" t="str">
        <f t="shared" si="3"/>
        <v>GA</v>
      </c>
    </row>
    <row r="95" spans="1:8" s="394" customFormat="1">
      <c r="A95" s="394" t="s">
        <v>1373</v>
      </c>
      <c r="B95" s="393" t="s">
        <v>1374</v>
      </c>
      <c r="C95" s="393" t="s">
        <v>1108</v>
      </c>
      <c r="D95" s="393" t="s">
        <v>1375</v>
      </c>
      <c r="E95" s="393" t="s">
        <v>1376</v>
      </c>
      <c r="F95" s="394" t="s">
        <v>1377</v>
      </c>
      <c r="G95" s="397">
        <f t="shared" si="2"/>
        <v>7</v>
      </c>
      <c r="H95" s="393" t="str">
        <f t="shared" si="3"/>
        <v>GA</v>
      </c>
    </row>
    <row r="96" spans="1:8" s="394" customFormat="1">
      <c r="A96" s="394" t="s">
        <v>1378</v>
      </c>
      <c r="B96" s="393" t="s">
        <v>275</v>
      </c>
      <c r="C96" s="393" t="s">
        <v>1097</v>
      </c>
      <c r="D96" s="393" t="s">
        <v>1098</v>
      </c>
      <c r="E96" s="393" t="s">
        <v>1379</v>
      </c>
      <c r="F96" s="394" t="s">
        <v>1380</v>
      </c>
      <c r="G96" s="397">
        <f t="shared" si="2"/>
        <v>14</v>
      </c>
      <c r="H96" s="393" t="str">
        <f t="shared" si="3"/>
        <v>GA</v>
      </c>
    </row>
    <row r="97" spans="1:8" s="394" customFormat="1">
      <c r="A97" s="394" t="s">
        <v>1381</v>
      </c>
      <c r="B97" s="393" t="s">
        <v>1382</v>
      </c>
      <c r="C97" s="393" t="s">
        <v>1102</v>
      </c>
      <c r="D97" s="393" t="s">
        <v>1103</v>
      </c>
      <c r="E97" s="393" t="s">
        <v>1383</v>
      </c>
      <c r="F97" s="394" t="s">
        <v>1229</v>
      </c>
      <c r="G97" s="397">
        <f t="shared" si="2"/>
        <v>11</v>
      </c>
      <c r="H97" s="393" t="str">
        <f t="shared" si="3"/>
        <v>GA</v>
      </c>
    </row>
    <row r="98" spans="1:8" s="394" customFormat="1">
      <c r="A98" s="394" t="s">
        <v>1384</v>
      </c>
      <c r="B98" s="393" t="s">
        <v>1277</v>
      </c>
      <c r="C98" s="393" t="s">
        <v>1108</v>
      </c>
      <c r="D98" s="393" t="s">
        <v>1109</v>
      </c>
      <c r="E98" s="393" t="s">
        <v>1385</v>
      </c>
      <c r="F98" s="394" t="s">
        <v>1386</v>
      </c>
      <c r="G98" s="397">
        <f t="shared" si="2"/>
        <v>8</v>
      </c>
      <c r="H98" s="393" t="str">
        <f t="shared" si="3"/>
        <v>FL</v>
      </c>
    </row>
    <row r="99" spans="1:8" s="394" customFormat="1">
      <c r="A99" s="394" t="s">
        <v>1387</v>
      </c>
      <c r="B99" s="393" t="s">
        <v>1388</v>
      </c>
      <c r="C99" s="393" t="s">
        <v>1097</v>
      </c>
      <c r="D99" s="393" t="s">
        <v>1098</v>
      </c>
      <c r="E99" s="393" t="s">
        <v>1389</v>
      </c>
      <c r="F99" s="394" t="s">
        <v>1155</v>
      </c>
      <c r="G99" s="397">
        <f t="shared" si="2"/>
        <v>8</v>
      </c>
      <c r="H99" s="393" t="str">
        <f t="shared" si="3"/>
        <v>GA</v>
      </c>
    </row>
    <row r="100" spans="1:8" s="394" customFormat="1">
      <c r="A100" s="394" t="s">
        <v>1390</v>
      </c>
      <c r="B100" s="393" t="s">
        <v>1382</v>
      </c>
      <c r="C100" s="393" t="s">
        <v>1108</v>
      </c>
      <c r="D100" s="393" t="s">
        <v>1153</v>
      </c>
      <c r="E100" s="393" t="s">
        <v>1391</v>
      </c>
      <c r="F100" s="394" t="s">
        <v>1392</v>
      </c>
      <c r="G100" s="397">
        <f t="shared" si="2"/>
        <v>9</v>
      </c>
      <c r="H100" s="393" t="str">
        <f t="shared" si="3"/>
        <v>GA</v>
      </c>
    </row>
    <row r="101" spans="1:8" s="394" customFormat="1">
      <c r="A101" s="394" t="s">
        <v>1393</v>
      </c>
      <c r="B101" s="393" t="s">
        <v>1142</v>
      </c>
      <c r="C101" s="393" t="s">
        <v>1108</v>
      </c>
      <c r="D101" s="393" t="s">
        <v>1153</v>
      </c>
      <c r="E101" s="393" t="s">
        <v>1394</v>
      </c>
      <c r="F101" s="394" t="s">
        <v>1395</v>
      </c>
      <c r="G101" s="397">
        <f t="shared" si="2"/>
        <v>13</v>
      </c>
      <c r="H101" s="393" t="str">
        <f t="shared" si="3"/>
        <v>GA</v>
      </c>
    </row>
    <row r="102" spans="1:8" s="394" customFormat="1">
      <c r="A102" s="394" t="s">
        <v>1396</v>
      </c>
      <c r="B102" s="393" t="s">
        <v>1277</v>
      </c>
      <c r="C102" s="393" t="s">
        <v>1108</v>
      </c>
      <c r="D102" s="393" t="s">
        <v>1153</v>
      </c>
      <c r="E102" s="393" t="s">
        <v>1397</v>
      </c>
      <c r="F102" s="394" t="s">
        <v>1398</v>
      </c>
      <c r="G102" s="397">
        <f t="shared" si="2"/>
        <v>11</v>
      </c>
      <c r="H102" s="393" t="str">
        <f t="shared" si="3"/>
        <v>NC</v>
      </c>
    </row>
    <row r="103" spans="1:8" s="394" customFormat="1">
      <c r="A103" s="394" t="s">
        <v>1399</v>
      </c>
      <c r="B103" s="393" t="s">
        <v>1382</v>
      </c>
      <c r="C103" s="393" t="s">
        <v>1091</v>
      </c>
      <c r="D103" s="393" t="s">
        <v>1092</v>
      </c>
      <c r="E103" s="393" t="s">
        <v>1400</v>
      </c>
      <c r="F103" s="398" t="s">
        <v>1695</v>
      </c>
      <c r="G103" s="397">
        <f t="shared" si="2"/>
        <v>13</v>
      </c>
      <c r="H103" s="393" t="str">
        <f t="shared" si="3"/>
        <v>SC</v>
      </c>
    </row>
    <row r="104" spans="1:8" s="394" customFormat="1">
      <c r="B104" s="393"/>
      <c r="C104" s="393"/>
      <c r="D104" s="393"/>
      <c r="E104" s="393"/>
      <c r="G104" s="393"/>
      <c r="H104" s="393"/>
    </row>
    <row r="105" spans="1:8" s="394" customFormat="1">
      <c r="A105" s="399" t="s">
        <v>1403</v>
      </c>
      <c r="B105" s="393"/>
      <c r="C105" s="393"/>
      <c r="D105" s="393"/>
      <c r="E105" s="393"/>
      <c r="G105" s="393"/>
      <c r="H105" s="393"/>
    </row>
  </sheetData>
  <hyperlinks>
    <hyperlink ref="A105" r:id="rId1"/>
  </hyperlinks>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F23"/>
  <sheetViews>
    <sheetView showGridLines="0" workbookViewId="0">
      <selection activeCell="F4" sqref="F4"/>
    </sheetView>
  </sheetViews>
  <sheetFormatPr defaultRowHeight="15.75"/>
  <cols>
    <col min="1" max="1" width="9.140625" style="142"/>
    <col min="2" max="4" width="29.140625" style="142" customWidth="1"/>
    <col min="5" max="6" width="20.28515625" style="142" customWidth="1"/>
    <col min="7" max="16384" width="9.140625" style="142"/>
  </cols>
  <sheetData>
    <row r="1" spans="1:6" ht="23.25">
      <c r="A1" s="33" t="s">
        <v>1672</v>
      </c>
      <c r="E1" s="638" t="s">
        <v>2056</v>
      </c>
    </row>
    <row r="2" spans="1:6" s="177" customFormat="1"/>
    <row r="3" spans="1:6" s="177" customFormat="1">
      <c r="B3" s="328" t="s">
        <v>1674</v>
      </c>
      <c r="C3" s="328" t="s">
        <v>1675</v>
      </c>
      <c r="D3" s="390" t="s">
        <v>1676</v>
      </c>
      <c r="E3" s="328"/>
      <c r="F3" s="328"/>
    </row>
    <row r="4" spans="1:6" s="177" customFormat="1">
      <c r="B4" s="328"/>
      <c r="C4" s="328"/>
      <c r="D4" s="390"/>
      <c r="E4" s="328"/>
      <c r="F4" s="328"/>
    </row>
    <row r="5" spans="1:6" s="177" customFormat="1">
      <c r="B5" s="142"/>
      <c r="C5" s="391" t="s">
        <v>1662</v>
      </c>
      <c r="D5" s="391" t="s">
        <v>1663</v>
      </c>
      <c r="E5" s="328"/>
      <c r="F5" s="328"/>
    </row>
    <row r="6" spans="1:6" s="177" customFormat="1">
      <c r="B6" s="142"/>
      <c r="C6" s="391"/>
      <c r="D6" s="391"/>
      <c r="E6" s="328"/>
      <c r="F6" s="328"/>
    </row>
    <row r="7" spans="1:6" s="177" customFormat="1">
      <c r="B7" s="327" t="s">
        <v>1664</v>
      </c>
      <c r="C7" s="327" t="str">
        <f>SUBSTITUTE(B7,"(","")</f>
        <v>Atlanta)</v>
      </c>
      <c r="D7" s="327" t="str">
        <f>SUBSTITUTE(C7,")","")</f>
        <v>Atlanta</v>
      </c>
      <c r="E7" s="328"/>
      <c r="F7" s="328"/>
    </row>
    <row r="8" spans="1:6" s="177" customFormat="1">
      <c r="B8" s="327" t="s">
        <v>1665</v>
      </c>
      <c r="C8" s="327" t="str">
        <f t="shared" ref="C8:C13" si="0">SUBSTITUTE(B8,"(","")</f>
        <v>Jacksonville)</v>
      </c>
      <c r="D8" s="327" t="str">
        <f t="shared" ref="D8:D13" si="1">SUBSTITUTE(C8,")","")</f>
        <v>Jacksonville</v>
      </c>
      <c r="E8" s="328"/>
      <c r="F8" s="328"/>
    </row>
    <row r="9" spans="1:6" s="177" customFormat="1">
      <c r="B9" s="327" t="s">
        <v>1666</v>
      </c>
      <c r="C9" s="327" t="str">
        <f t="shared" si="0"/>
        <v>Detroit</v>
      </c>
      <c r="D9" s="327" t="str">
        <f t="shared" si="1"/>
        <v>Detroit</v>
      </c>
      <c r="E9" s="328"/>
      <c r="F9" s="328"/>
    </row>
    <row r="10" spans="1:6" s="177" customFormat="1">
      <c r="B10" s="327" t="s">
        <v>1667</v>
      </c>
      <c r="C10" s="327" t="str">
        <f t="shared" si="0"/>
        <v>Lansing</v>
      </c>
      <c r="D10" s="327" t="str">
        <f t="shared" si="1"/>
        <v>Lansing</v>
      </c>
      <c r="E10" s="328"/>
      <c r="F10" s="328"/>
    </row>
    <row r="11" spans="1:6" s="177" customFormat="1">
      <c r="B11" s="327" t="s">
        <v>1668</v>
      </c>
      <c r="C11" s="327" t="str">
        <f t="shared" si="0"/>
        <v>Dallas)</v>
      </c>
      <c r="D11" s="327" t="str">
        <f t="shared" si="1"/>
        <v>Dallas</v>
      </c>
      <c r="E11" s="328"/>
      <c r="F11" s="328"/>
    </row>
    <row r="12" spans="1:6" s="177" customFormat="1">
      <c r="B12" s="327" t="s">
        <v>1669</v>
      </c>
      <c r="C12" s="327" t="str">
        <f t="shared" si="0"/>
        <v>Boston)</v>
      </c>
      <c r="D12" s="327" t="str">
        <f t="shared" si="1"/>
        <v>Boston</v>
      </c>
      <c r="E12" s="328"/>
      <c r="F12" s="328"/>
    </row>
    <row r="13" spans="1:6" s="177" customFormat="1">
      <c r="B13" s="327" t="s">
        <v>1670</v>
      </c>
      <c r="C13" s="327" t="str">
        <f t="shared" si="0"/>
        <v>Philadelphia</v>
      </c>
      <c r="D13" s="327" t="str">
        <f t="shared" si="1"/>
        <v>Philadelphia</v>
      </c>
      <c r="E13" s="328"/>
      <c r="F13" s="328"/>
    </row>
    <row r="14" spans="1:6" s="177" customFormat="1">
      <c r="B14" s="142"/>
      <c r="C14" s="142"/>
      <c r="D14" s="142"/>
    </row>
    <row r="15" spans="1:6" s="177" customFormat="1">
      <c r="B15" s="142"/>
      <c r="C15" s="142"/>
      <c r="D15" s="142"/>
    </row>
    <row r="16" spans="1:6" s="177" customFormat="1">
      <c r="B16" s="651" t="s">
        <v>1673</v>
      </c>
      <c r="C16" s="652"/>
      <c r="D16" s="652"/>
      <c r="E16" s="652"/>
      <c r="F16" s="652"/>
    </row>
    <row r="17" spans="2:6" s="177" customFormat="1">
      <c r="B17" s="652"/>
      <c r="C17" s="652"/>
      <c r="D17" s="652"/>
      <c r="E17" s="652"/>
      <c r="F17" s="652"/>
    </row>
    <row r="18" spans="2:6" s="177" customFormat="1">
      <c r="B18" s="652"/>
      <c r="C18" s="652"/>
      <c r="D18" s="652"/>
      <c r="E18" s="652"/>
      <c r="F18" s="652"/>
    </row>
    <row r="19" spans="2:6" s="177" customFormat="1">
      <c r="B19" s="652"/>
      <c r="C19" s="652"/>
      <c r="D19" s="652"/>
      <c r="E19" s="652"/>
      <c r="F19" s="652"/>
    </row>
    <row r="20" spans="2:6" s="177" customFormat="1"/>
    <row r="21" spans="2:6" s="177" customFormat="1"/>
    <row r="22" spans="2:6" s="177" customFormat="1"/>
    <row r="23" spans="2:6" s="177" customFormat="1"/>
  </sheetData>
  <mergeCells count="1">
    <mergeCell ref="B16:F19"/>
  </mergeCells>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J19"/>
  <sheetViews>
    <sheetView showGridLines="0" zoomScale="120" zoomScaleNormal="120" workbookViewId="0">
      <selection activeCell="F4" sqref="F4"/>
    </sheetView>
  </sheetViews>
  <sheetFormatPr defaultRowHeight="15.75"/>
  <cols>
    <col min="1" max="1" width="4" style="142" customWidth="1"/>
    <col min="2" max="2" width="89.85546875" style="142" customWidth="1"/>
    <col min="3" max="3" width="9.42578125" style="142" customWidth="1"/>
    <col min="4" max="15" width="10.7109375" style="142" customWidth="1"/>
    <col min="16" max="16384" width="9.140625" style="142"/>
  </cols>
  <sheetData>
    <row r="1" spans="1:10" ht="23.25">
      <c r="A1" s="33" t="s">
        <v>1732</v>
      </c>
      <c r="E1" s="638" t="s">
        <v>2056</v>
      </c>
    </row>
    <row r="3" spans="1:10" ht="32.25" thickBot="1">
      <c r="C3" s="257" t="s">
        <v>1745</v>
      </c>
      <c r="D3" s="256" t="s">
        <v>1744</v>
      </c>
    </row>
    <row r="4" spans="1:10">
      <c r="B4" s="142" t="s">
        <v>1733</v>
      </c>
      <c r="C4" s="142">
        <f>LEN(B4)</f>
        <v>80</v>
      </c>
      <c r="D4" s="142">
        <f t="shared" ref="D4:D10" si="0">C4-C13</f>
        <v>2</v>
      </c>
      <c r="J4" s="387">
        <f t="shared" ref="J4:J10" si="1">LEN(B4)-LEN(SUBSTITUTE(B4,$B$14,""))</f>
        <v>0</v>
      </c>
    </row>
    <row r="5" spans="1:10">
      <c r="B5" s="176" t="s">
        <v>1743</v>
      </c>
      <c r="C5" s="142">
        <f t="shared" ref="C5:C10" si="2">LEN(B5)</f>
        <v>75</v>
      </c>
      <c r="D5" s="142">
        <f t="shared" si="0"/>
        <v>1</v>
      </c>
      <c r="J5" s="387">
        <f t="shared" si="1"/>
        <v>0</v>
      </c>
    </row>
    <row r="6" spans="1:10">
      <c r="B6" s="176" t="s">
        <v>1741</v>
      </c>
      <c r="C6" s="142">
        <f t="shared" si="2"/>
        <v>91</v>
      </c>
      <c r="D6" s="142">
        <f t="shared" si="0"/>
        <v>2</v>
      </c>
      <c r="J6" s="387">
        <f t="shared" si="1"/>
        <v>0</v>
      </c>
    </row>
    <row r="7" spans="1:10">
      <c r="B7" s="176" t="s">
        <v>1742</v>
      </c>
      <c r="C7" s="142">
        <f t="shared" si="2"/>
        <v>69</v>
      </c>
      <c r="D7" s="142">
        <f t="shared" si="0"/>
        <v>1</v>
      </c>
      <c r="J7" s="387">
        <f t="shared" si="1"/>
        <v>0</v>
      </c>
    </row>
    <row r="8" spans="1:10">
      <c r="B8" s="176" t="s">
        <v>1734</v>
      </c>
      <c r="C8" s="142">
        <f t="shared" si="2"/>
        <v>88</v>
      </c>
      <c r="D8" s="142">
        <f t="shared" si="0"/>
        <v>2</v>
      </c>
      <c r="J8" s="387">
        <f t="shared" si="1"/>
        <v>0</v>
      </c>
    </row>
    <row r="9" spans="1:10">
      <c r="B9" s="176" t="s">
        <v>1735</v>
      </c>
      <c r="C9" s="142">
        <f t="shared" si="2"/>
        <v>79</v>
      </c>
      <c r="D9" s="142">
        <f t="shared" si="0"/>
        <v>2</v>
      </c>
      <c r="J9" s="387">
        <f t="shared" si="1"/>
        <v>0</v>
      </c>
    </row>
    <row r="10" spans="1:10">
      <c r="B10" s="176" t="s">
        <v>1736</v>
      </c>
      <c r="C10" s="142">
        <f t="shared" si="2"/>
        <v>67</v>
      </c>
      <c r="D10" s="142">
        <f t="shared" si="0"/>
        <v>1</v>
      </c>
      <c r="J10" s="387">
        <f t="shared" si="1"/>
        <v>0</v>
      </c>
    </row>
    <row r="11" spans="1:10">
      <c r="B11" s="176"/>
      <c r="J11" s="387"/>
    </row>
    <row r="12" spans="1:10" ht="16.5" thickBot="1">
      <c r="B12" s="388" t="s">
        <v>1746</v>
      </c>
      <c r="C12" s="387"/>
    </row>
    <row r="13" spans="1:10">
      <c r="B13" s="389" t="str">
        <f>SUBSTITUTE(B4,"@","")</f>
        <v>Smith, Todd, (770) 543-2344, $35,000, (Manager), ToddABC.com, ToddSmithabc.com</v>
      </c>
      <c r="C13" s="142">
        <f t="shared" ref="C13:C19" si="3">LEN(B13)</f>
        <v>78</v>
      </c>
    </row>
    <row r="14" spans="1:10">
      <c r="B14" s="389" t="str">
        <f t="shared" ref="B14:B19" si="4">SUBSTITUTE(B5,"@","")</f>
        <v>Rogers, Ginger, (800) 555-3224, $1,145,000, (Board Member), GingerFred.com</v>
      </c>
      <c r="C14" s="142">
        <f t="shared" si="3"/>
        <v>74</v>
      </c>
    </row>
    <row r="15" spans="1:10">
      <c r="B15" s="389" t="str">
        <f t="shared" si="4"/>
        <v>Powell, Billy Bob, (512) 433-8772, $23,000, (Sales Rep), Billyhotmail.com, BPowellabc.com</v>
      </c>
      <c r="C15" s="142">
        <f t="shared" si="3"/>
        <v>89</v>
      </c>
    </row>
    <row r="16" spans="1:10">
      <c r="B16" s="389" t="str">
        <f t="shared" si="4"/>
        <v>Sneed, Samuel L., (612) 655-1233, $189,000, (Instructor), Samabc.com</v>
      </c>
      <c r="C16" s="142">
        <f t="shared" si="3"/>
        <v>68</v>
      </c>
    </row>
    <row r="17" spans="2:3">
      <c r="B17" s="389" t="str">
        <f t="shared" si="4"/>
        <v>Johnson, Gretta, (779) 233-4775, $67,000, (Sr. Manager), Grettaabc.com, GrettaJabc.com</v>
      </c>
      <c r="C17" s="142">
        <f t="shared" si="3"/>
        <v>86</v>
      </c>
    </row>
    <row r="18" spans="2:3">
      <c r="B18" s="389" t="str">
        <f t="shared" si="4"/>
        <v>Cook, Jim, (900) 232-6363, $55,000, (Support), Jimhotmail.com, JimJimcook.com</v>
      </c>
      <c r="C18" s="142">
        <f t="shared" si="3"/>
        <v>77</v>
      </c>
    </row>
    <row r="19" spans="2:3">
      <c r="B19" s="389" t="str">
        <f t="shared" si="4"/>
        <v>Olgesby, Kathy, (212) 444-5766, ($88,000), (Marketing), Katabc.com</v>
      </c>
      <c r="C19" s="142">
        <f t="shared" si="3"/>
        <v>66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M38"/>
  <sheetViews>
    <sheetView showGridLines="0" zoomScale="120" zoomScaleNormal="120" workbookViewId="0">
      <selection activeCell="F4" sqref="F4"/>
    </sheetView>
  </sheetViews>
  <sheetFormatPr defaultRowHeight="15.75"/>
  <cols>
    <col min="1" max="1" width="4.5703125" style="142" customWidth="1"/>
    <col min="2" max="2" width="89.85546875" style="142" customWidth="1"/>
    <col min="3" max="3" width="9.42578125" style="142" customWidth="1"/>
    <col min="4" max="4" width="10.7109375" style="142" customWidth="1"/>
    <col min="5" max="5" width="26.28515625" style="142" customWidth="1"/>
    <col min="6" max="6" width="13" style="142" customWidth="1"/>
    <col min="7" max="7" width="79.42578125" style="142" customWidth="1"/>
    <col min="8" max="8" width="13" style="142" customWidth="1"/>
    <col min="9" max="9" width="10.140625" style="142" customWidth="1"/>
    <col min="10" max="11" width="25.140625" style="142" customWidth="1"/>
    <col min="12" max="32" width="10.7109375" style="142" customWidth="1"/>
    <col min="33" max="16384" width="9.140625" style="142"/>
  </cols>
  <sheetData>
    <row r="1" spans="1:11" ht="23.25">
      <c r="A1" s="370" t="s">
        <v>1750</v>
      </c>
      <c r="E1" s="638" t="s">
        <v>2056</v>
      </c>
    </row>
    <row r="2" spans="1:11">
      <c r="J2" s="653" t="s">
        <v>1753</v>
      </c>
      <c r="K2" s="653"/>
    </row>
    <row r="3" spans="1:11" ht="48" thickBot="1">
      <c r="E3" s="256" t="s">
        <v>1740</v>
      </c>
      <c r="F3" s="256" t="s">
        <v>1737</v>
      </c>
      <c r="G3" s="255" t="s">
        <v>1738</v>
      </c>
      <c r="H3" s="255" t="s">
        <v>1739</v>
      </c>
      <c r="I3" s="379"/>
      <c r="J3" s="257" t="s">
        <v>1751</v>
      </c>
      <c r="K3" s="257" t="s">
        <v>1752</v>
      </c>
    </row>
    <row r="4" spans="1:11" ht="17.25">
      <c r="B4" s="142" t="s">
        <v>1733</v>
      </c>
      <c r="C4" s="380">
        <f>LEN(B4)-LEN(SUBSTITUTE(B4,"@",""))</f>
        <v>2</v>
      </c>
      <c r="E4" s="142" t="str">
        <f>RIGHT(B4,LEN(B4)-SEARCH("#",SUBSTITUTE(B4," ","#",LEN(B4)-LEN(SUBSTITUTE(B4," ","")))))</f>
        <v>ToddSmith@abc.com</v>
      </c>
      <c r="F4" s="142">
        <f>LEN(E4)</f>
        <v>17</v>
      </c>
      <c r="G4" s="142" t="str">
        <f>LEFT(B4,(LEN(B4)-F4-2))</f>
        <v>Smith, Todd, (770) 543-2344, $35,000, (Manager), Todd@ABC.com</v>
      </c>
      <c r="H4" s="142" t="str">
        <f>RIGHT(G4,LEN(G4)-SEARCH("#",SUBSTITUTE(G4," ","#",LEN(G4)-LEN(SUBSTITUTE(G4," ","")))))</f>
        <v>Todd@ABC.com</v>
      </c>
      <c r="J4" s="381" t="str">
        <f>IF(C4=1,E4,H4)</f>
        <v>Todd@ABC.com</v>
      </c>
      <c r="K4" s="381" t="str">
        <f>IF(C4=2,E4,"")</f>
        <v>ToddSmith@abc.com</v>
      </c>
    </row>
    <row r="5" spans="1:11" ht="17.25">
      <c r="B5" s="176" t="s">
        <v>1743</v>
      </c>
      <c r="C5" s="380">
        <f t="shared" ref="C5:C10" si="0">LEN(B5)-LEN(SUBSTITUTE(B5,"@",""))</f>
        <v>1</v>
      </c>
      <c r="E5" s="142" t="str">
        <f t="shared" ref="E5:E10" si="1">RIGHT(B5,LEN(B5)-SEARCH("#",SUBSTITUTE(B5," ","#",LEN(B5)-LEN(SUBSTITUTE(B5," ","")))))</f>
        <v>Ginger@Fred.com</v>
      </c>
      <c r="F5" s="142">
        <f t="shared" ref="F5:F10" si="2">LEN(E5)</f>
        <v>15</v>
      </c>
      <c r="G5" s="142" t="str">
        <f t="shared" ref="G5:G10" si="3">LEFT(B5,(LEN(B5)-F5-2))</f>
        <v>Rogers, Ginger, (800) 555-3224, $1,145,000, (Board Member)</v>
      </c>
      <c r="H5" s="142" t="str">
        <f t="shared" ref="H5:H10" si="4">RIGHT(G5,LEN(G5)-SEARCH("#",SUBSTITUTE(G5," ","#",LEN(G5)-LEN(SUBSTITUTE(G5," ","")))))</f>
        <v>Member)</v>
      </c>
      <c r="J5" s="208" t="str">
        <f t="shared" ref="J5:J10" si="5">IF(C5=1,E5,H5)</f>
        <v>Ginger@Fred.com</v>
      </c>
      <c r="K5" s="208" t="str">
        <f t="shared" ref="K5:K10" si="6">IF(C5=2,E5,"")</f>
        <v/>
      </c>
    </row>
    <row r="6" spans="1:11" ht="17.25">
      <c r="B6" s="176" t="s">
        <v>1741</v>
      </c>
      <c r="C6" s="380">
        <f t="shared" si="0"/>
        <v>2</v>
      </c>
      <c r="E6" s="142" t="str">
        <f t="shared" si="1"/>
        <v>BPowell@abc.com</v>
      </c>
      <c r="F6" s="142">
        <f t="shared" si="2"/>
        <v>15</v>
      </c>
      <c r="G6" s="142" t="str">
        <f t="shared" si="3"/>
        <v>Powell, Billy Bob, (512) 433-8772, $23,000, (Sales Rep), Billy@hotmail.com</v>
      </c>
      <c r="H6" s="142" t="str">
        <f t="shared" si="4"/>
        <v>Billy@hotmail.com</v>
      </c>
      <c r="J6" s="208" t="str">
        <f t="shared" si="5"/>
        <v>Billy@hotmail.com</v>
      </c>
      <c r="K6" s="208" t="str">
        <f t="shared" si="6"/>
        <v>BPowell@abc.com</v>
      </c>
    </row>
    <row r="7" spans="1:11" ht="17.25">
      <c r="B7" s="176" t="s">
        <v>1742</v>
      </c>
      <c r="C7" s="380">
        <f t="shared" si="0"/>
        <v>1</v>
      </c>
      <c r="E7" s="142" t="str">
        <f t="shared" si="1"/>
        <v>Sam@abc.com</v>
      </c>
      <c r="F7" s="142">
        <f t="shared" si="2"/>
        <v>11</v>
      </c>
      <c r="G7" s="142" t="str">
        <f t="shared" si="3"/>
        <v>Sneed, Samuel L., (612) 655-1233, $189,000, (Instructor)</v>
      </c>
      <c r="H7" s="142" t="str">
        <f t="shared" si="4"/>
        <v>(Instructor)</v>
      </c>
      <c r="J7" s="208" t="str">
        <f t="shared" si="5"/>
        <v>Sam@abc.com</v>
      </c>
      <c r="K7" s="208" t="str">
        <f t="shared" si="6"/>
        <v/>
      </c>
    </row>
    <row r="8" spans="1:11" ht="17.25">
      <c r="B8" s="176" t="s">
        <v>1734</v>
      </c>
      <c r="C8" s="380">
        <f t="shared" si="0"/>
        <v>2</v>
      </c>
      <c r="E8" s="142" t="str">
        <f t="shared" si="1"/>
        <v>GrettaJ@abc.com</v>
      </c>
      <c r="F8" s="142">
        <f t="shared" si="2"/>
        <v>15</v>
      </c>
      <c r="G8" s="142" t="str">
        <f t="shared" si="3"/>
        <v>Johnson, Gretta, (779) 233-4775, $67,000, (Sr. Manager), Gretta@abc.com</v>
      </c>
      <c r="H8" s="142" t="str">
        <f t="shared" si="4"/>
        <v>Gretta@abc.com</v>
      </c>
      <c r="J8" s="208" t="str">
        <f t="shared" si="5"/>
        <v>Gretta@abc.com</v>
      </c>
      <c r="K8" s="208" t="str">
        <f t="shared" si="6"/>
        <v>GrettaJ@abc.com</v>
      </c>
    </row>
    <row r="9" spans="1:11" ht="17.25">
      <c r="B9" s="176" t="s">
        <v>1735</v>
      </c>
      <c r="C9" s="380">
        <f t="shared" si="0"/>
        <v>2</v>
      </c>
      <c r="E9" s="142" t="str">
        <f t="shared" si="1"/>
        <v>Jim@Jimcook.com</v>
      </c>
      <c r="F9" s="142">
        <f t="shared" si="2"/>
        <v>15</v>
      </c>
      <c r="G9" s="142" t="str">
        <f t="shared" si="3"/>
        <v>Cook, Jim, (900) 232-6363, $55,000, (Support), Jim@hotmail.com</v>
      </c>
      <c r="H9" s="142" t="str">
        <f t="shared" si="4"/>
        <v>Jim@hotmail.com</v>
      </c>
      <c r="J9" s="208" t="str">
        <f t="shared" si="5"/>
        <v>Jim@hotmail.com</v>
      </c>
      <c r="K9" s="208" t="str">
        <f t="shared" si="6"/>
        <v>Jim@Jimcook.com</v>
      </c>
    </row>
    <row r="10" spans="1:11" ht="17.25">
      <c r="B10" s="176" t="s">
        <v>1736</v>
      </c>
      <c r="C10" s="380">
        <f t="shared" si="0"/>
        <v>1</v>
      </c>
      <c r="E10" s="142" t="str">
        <f t="shared" si="1"/>
        <v>Kat@abc.com</v>
      </c>
      <c r="F10" s="142">
        <f t="shared" si="2"/>
        <v>11</v>
      </c>
      <c r="G10" s="142" t="str">
        <f t="shared" si="3"/>
        <v>Olgesby, Kathy, (212) 444-5766, ($88,000), (Marketing)</v>
      </c>
      <c r="H10" s="142" t="str">
        <f t="shared" si="4"/>
        <v>(Marketing)</v>
      </c>
      <c r="J10" s="208" t="str">
        <f t="shared" si="5"/>
        <v>Kat@abc.com</v>
      </c>
      <c r="K10" s="208" t="str">
        <f t="shared" si="6"/>
        <v/>
      </c>
    </row>
    <row r="11" spans="1:11" ht="17.25">
      <c r="B11" s="176"/>
      <c r="C11" s="380"/>
    </row>
    <row r="12" spans="1:11" ht="17.25">
      <c r="B12" s="176"/>
      <c r="C12" s="380"/>
    </row>
    <row r="13" spans="1:11" ht="17.25">
      <c r="B13" s="382" t="s">
        <v>1749</v>
      </c>
      <c r="C13" s="380"/>
    </row>
    <row r="14" spans="1:11" ht="17.25">
      <c r="B14" s="176"/>
      <c r="C14" s="380"/>
    </row>
    <row r="15" spans="1:11" ht="17.25">
      <c r="B15" s="176"/>
      <c r="C15" s="380"/>
    </row>
    <row r="16" spans="1:11" ht="17.25">
      <c r="B16" s="176"/>
      <c r="C16" s="380"/>
    </row>
    <row r="17" spans="1:3" ht="17.25">
      <c r="B17" s="176"/>
      <c r="C17" s="380"/>
    </row>
    <row r="18" spans="1:3" ht="17.25">
      <c r="B18" s="176"/>
      <c r="C18" s="380"/>
    </row>
    <row r="19" spans="1:3" ht="17.25">
      <c r="B19" s="176"/>
      <c r="C19" s="380"/>
    </row>
    <row r="20" spans="1:3" ht="17.25">
      <c r="B20" s="176"/>
      <c r="C20" s="380"/>
    </row>
    <row r="21" spans="1:3" ht="17.25">
      <c r="B21" s="176"/>
      <c r="C21" s="380"/>
    </row>
    <row r="22" spans="1:3" ht="17.25">
      <c r="B22" s="176"/>
      <c r="C22" s="380"/>
    </row>
    <row r="23" spans="1:3" ht="17.25">
      <c r="B23" s="176"/>
      <c r="C23" s="380"/>
    </row>
    <row r="24" spans="1:3" ht="17.25">
      <c r="B24" s="176"/>
      <c r="C24" s="380"/>
    </row>
    <row r="25" spans="1:3" ht="17.25">
      <c r="B25" s="176"/>
      <c r="C25" s="380"/>
    </row>
    <row r="26" spans="1:3" ht="17.25">
      <c r="B26" s="176"/>
      <c r="C26" s="380"/>
    </row>
    <row r="27" spans="1:3" ht="17.25">
      <c r="B27" s="176"/>
      <c r="C27" s="380"/>
    </row>
    <row r="28" spans="1:3" ht="17.25">
      <c r="B28" s="176" t="s">
        <v>1733</v>
      </c>
      <c r="C28" s="380"/>
    </row>
    <row r="29" spans="1:3" ht="17.25">
      <c r="B29" s="176"/>
      <c r="C29" s="380"/>
    </row>
    <row r="30" spans="1:3" ht="17.25">
      <c r="B30" s="252" t="s">
        <v>1748</v>
      </c>
      <c r="C30" s="380"/>
    </row>
    <row r="31" spans="1:3" ht="17.25">
      <c r="A31" s="208">
        <v>1</v>
      </c>
      <c r="B31" s="383">
        <f>LEN(B28)</f>
        <v>80</v>
      </c>
      <c r="C31" s="380"/>
    </row>
    <row r="32" spans="1:3" ht="17.25">
      <c r="A32" s="208">
        <v>2</v>
      </c>
      <c r="B32" s="383" t="str">
        <f>SUBSTITUTE(B28," ","")</f>
        <v>Smith,Todd,(770)543-2344,$35,000,(Manager),Todd@ABC.com,ToddSmith@abc.com</v>
      </c>
      <c r="C32" s="380"/>
    </row>
    <row r="33" spans="1:13" ht="17.25">
      <c r="A33" s="208">
        <v>3</v>
      </c>
      <c r="B33" s="384">
        <f>LEN(B32)</f>
        <v>73</v>
      </c>
      <c r="C33" s="385"/>
    </row>
    <row r="34" spans="1:13">
      <c r="A34" s="208">
        <v>4</v>
      </c>
      <c r="B34" s="386">
        <f>B31-B33</f>
        <v>7</v>
      </c>
      <c r="C34" s="385"/>
    </row>
    <row r="35" spans="1:13">
      <c r="A35" s="208">
        <v>5</v>
      </c>
      <c r="B35" s="208" t="str">
        <f>SUBSTITUTE(B28," ","#",B34)</f>
        <v>Smith, Todd, (770) 543-2344, $35,000, (Manager), Todd@ABC.com,#ToddSmith@abc.com</v>
      </c>
      <c r="C35" s="385"/>
    </row>
    <row r="36" spans="1:13">
      <c r="A36" s="208">
        <v>6</v>
      </c>
      <c r="B36" s="383">
        <f>SEARCH("#",B35)</f>
        <v>63</v>
      </c>
      <c r="M36" s="180" t="s">
        <v>1747</v>
      </c>
    </row>
    <row r="37" spans="1:13">
      <c r="A37" s="208">
        <v>7</v>
      </c>
      <c r="B37" s="386">
        <f>B31-B36</f>
        <v>17</v>
      </c>
    </row>
    <row r="38" spans="1:13">
      <c r="A38" s="208">
        <v>8</v>
      </c>
      <c r="B38" s="208" t="str">
        <f>RIGHT(B28,B37)</f>
        <v>ToddSmith@abc.com</v>
      </c>
    </row>
  </sheetData>
  <mergeCells count="1">
    <mergeCell ref="J2:K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dimension ref="A1:F30"/>
  <sheetViews>
    <sheetView showGridLines="0" workbookViewId="0">
      <selection activeCell="F4" sqref="F4"/>
    </sheetView>
  </sheetViews>
  <sheetFormatPr defaultRowHeight="15.75"/>
  <cols>
    <col min="1" max="1" width="9.140625" style="142"/>
    <col min="2" max="2" width="23.85546875" style="142" customWidth="1"/>
    <col min="3" max="3" width="26.7109375" style="142" customWidth="1"/>
    <col min="4" max="4" width="29.140625" style="142" customWidth="1"/>
    <col min="5" max="5" width="19" style="142" customWidth="1"/>
    <col min="6" max="6" width="16.42578125" style="142" customWidth="1"/>
    <col min="7" max="7" width="14.140625" style="142" customWidth="1"/>
    <col min="8" max="16384" width="9.140625" style="142"/>
  </cols>
  <sheetData>
    <row r="1" spans="1:6" ht="23.25">
      <c r="A1" s="33" t="s">
        <v>1661</v>
      </c>
      <c r="E1" s="638" t="s">
        <v>2056</v>
      </c>
    </row>
    <row r="2" spans="1:6" s="177" customFormat="1">
      <c r="B2" s="328"/>
      <c r="C2" s="328"/>
      <c r="D2" s="328"/>
      <c r="E2" s="328"/>
      <c r="F2" s="328"/>
    </row>
    <row r="3" spans="1:6" s="177" customFormat="1">
      <c r="B3" s="328"/>
      <c r="C3" s="328"/>
      <c r="D3" s="328"/>
      <c r="E3" s="328"/>
      <c r="F3" s="328"/>
    </row>
    <row r="4" spans="1:6" s="177" customFormat="1" ht="16.5" thickBot="1">
      <c r="B4" s="376" t="s">
        <v>177</v>
      </c>
      <c r="C4" s="376" t="s">
        <v>182</v>
      </c>
      <c r="D4" s="376" t="s">
        <v>1687</v>
      </c>
      <c r="E4" s="376" t="s">
        <v>184</v>
      </c>
      <c r="F4" s="376" t="s">
        <v>1688</v>
      </c>
    </row>
    <row r="5" spans="1:6" s="177" customFormat="1">
      <c r="B5" s="267" t="s">
        <v>727</v>
      </c>
      <c r="C5" s="267" t="s">
        <v>728</v>
      </c>
      <c r="D5" s="267" t="s">
        <v>729</v>
      </c>
      <c r="E5" s="377" t="s">
        <v>1684</v>
      </c>
      <c r="F5" s="378" t="str">
        <f>REPLACE(E5,4,1," ")</f>
        <v>912 638-5009</v>
      </c>
    </row>
    <row r="6" spans="1:6" s="177" customFormat="1">
      <c r="B6" s="267" t="s">
        <v>731</v>
      </c>
      <c r="C6" s="267" t="s">
        <v>732</v>
      </c>
      <c r="D6" s="267" t="s">
        <v>733</v>
      </c>
      <c r="E6" s="267" t="s">
        <v>734</v>
      </c>
      <c r="F6" s="378" t="str">
        <f t="shared" ref="F6:F20" si="0">REPLACE(E6,4,1," ")</f>
        <v>478 968-5313</v>
      </c>
    </row>
    <row r="7" spans="1:6" s="177" customFormat="1">
      <c r="B7" s="267" t="s">
        <v>736</v>
      </c>
      <c r="C7" s="267" t="s">
        <v>913</v>
      </c>
      <c r="D7" s="267" t="s">
        <v>914</v>
      </c>
      <c r="E7" s="377" t="s">
        <v>1680</v>
      </c>
      <c r="F7" s="378" t="str">
        <f t="shared" si="0"/>
        <v>904 268-0851</v>
      </c>
    </row>
    <row r="8" spans="1:6" s="177" customFormat="1">
      <c r="B8" s="267" t="s">
        <v>737</v>
      </c>
      <c r="C8" s="267" t="s">
        <v>918</v>
      </c>
      <c r="D8" s="268" t="s">
        <v>919</v>
      </c>
      <c r="E8" s="377" t="s">
        <v>1677</v>
      </c>
      <c r="F8" s="378" t="str">
        <f t="shared" si="0"/>
        <v>912 265-8716</v>
      </c>
    </row>
    <row r="9" spans="1:6" s="177" customFormat="1">
      <c r="B9" s="267" t="s">
        <v>738</v>
      </c>
      <c r="C9" s="267" t="s">
        <v>921</v>
      </c>
      <c r="D9" s="267" t="s">
        <v>850</v>
      </c>
      <c r="E9" s="377" t="s">
        <v>1681</v>
      </c>
      <c r="F9" s="378" t="str">
        <f t="shared" si="0"/>
        <v>912 369-3354</v>
      </c>
    </row>
    <row r="10" spans="1:6" s="177" customFormat="1">
      <c r="B10" s="267" t="s">
        <v>739</v>
      </c>
      <c r="C10" s="267" t="s">
        <v>924</v>
      </c>
      <c r="D10" s="267" t="s">
        <v>925</v>
      </c>
      <c r="E10" s="377" t="s">
        <v>1679</v>
      </c>
      <c r="F10" s="378" t="str">
        <f t="shared" si="0"/>
        <v>912 638-7973</v>
      </c>
    </row>
    <row r="11" spans="1:6" s="177" customFormat="1">
      <c r="B11" s="267" t="s">
        <v>740</v>
      </c>
      <c r="C11" s="267" t="s">
        <v>928</v>
      </c>
      <c r="D11" s="267" t="s">
        <v>754</v>
      </c>
      <c r="E11" s="377" t="s">
        <v>1685</v>
      </c>
      <c r="F11" s="378" t="str">
        <f t="shared" si="0"/>
        <v>255 445-6778</v>
      </c>
    </row>
    <row r="12" spans="1:6" s="177" customFormat="1">
      <c r="B12" s="267" t="s">
        <v>741</v>
      </c>
      <c r="C12" s="267" t="s">
        <v>742</v>
      </c>
      <c r="D12" s="267" t="s">
        <v>743</v>
      </c>
      <c r="E12" s="267" t="s">
        <v>744</v>
      </c>
      <c r="F12" s="378" t="str">
        <f t="shared" si="0"/>
        <v>404 212-1981</v>
      </c>
    </row>
    <row r="13" spans="1:6" s="177" customFormat="1">
      <c r="B13" s="267" t="s">
        <v>746</v>
      </c>
      <c r="C13" s="267" t="s">
        <v>747</v>
      </c>
      <c r="D13" s="268" t="s">
        <v>748</v>
      </c>
      <c r="E13" s="267" t="s">
        <v>749</v>
      </c>
      <c r="F13" s="378" t="str">
        <f t="shared" si="0"/>
        <v>336 764-3532</v>
      </c>
    </row>
    <row r="14" spans="1:6" s="177" customFormat="1">
      <c r="B14" s="267" t="s">
        <v>751</v>
      </c>
      <c r="C14" s="267" t="s">
        <v>1692</v>
      </c>
      <c r="D14" s="377" t="s">
        <v>1693</v>
      </c>
      <c r="E14" s="377" t="s">
        <v>1682</v>
      </c>
      <c r="F14" s="378" t="str">
        <f t="shared" si="0"/>
        <v>455 668-8923</v>
      </c>
    </row>
    <row r="15" spans="1:6" s="177" customFormat="1">
      <c r="B15" s="267" t="s">
        <v>752</v>
      </c>
      <c r="C15" s="267" t="s">
        <v>753</v>
      </c>
      <c r="D15" s="267" t="s">
        <v>754</v>
      </c>
      <c r="E15" s="377" t="s">
        <v>1678</v>
      </c>
      <c r="F15" s="378" t="str">
        <f t="shared" si="0"/>
        <v>912 264-5910</v>
      </c>
    </row>
    <row r="16" spans="1:6" s="177" customFormat="1">
      <c r="B16" s="267" t="s">
        <v>756</v>
      </c>
      <c r="C16" s="267" t="s">
        <v>1690</v>
      </c>
      <c r="D16" s="377" t="s">
        <v>1691</v>
      </c>
      <c r="E16" s="377" t="s">
        <v>1686</v>
      </c>
      <c r="F16" s="378" t="str">
        <f t="shared" si="0"/>
        <v>344 654-8990</v>
      </c>
    </row>
    <row r="17" spans="2:6" s="177" customFormat="1">
      <c r="B17" s="268" t="s">
        <v>757</v>
      </c>
      <c r="C17" s="267" t="s">
        <v>1689</v>
      </c>
      <c r="D17" s="267" t="s">
        <v>758</v>
      </c>
      <c r="E17" s="267" t="s">
        <v>759</v>
      </c>
      <c r="F17" s="378" t="str">
        <f t="shared" si="0"/>
        <v>904 268-0851</v>
      </c>
    </row>
    <row r="18" spans="2:6" s="177" customFormat="1">
      <c r="B18" s="267" t="s">
        <v>760</v>
      </c>
      <c r="C18" s="267" t="s">
        <v>761</v>
      </c>
      <c r="D18" s="267" t="s">
        <v>754</v>
      </c>
      <c r="E18" s="377" t="s">
        <v>762</v>
      </c>
      <c r="F18" s="378" t="str">
        <f t="shared" si="0"/>
        <v>912 265-2616</v>
      </c>
    </row>
    <row r="19" spans="2:6" s="177" customFormat="1">
      <c r="B19" s="267" t="s">
        <v>763</v>
      </c>
      <c r="C19" s="267" t="s">
        <v>764</v>
      </c>
      <c r="D19" s="267" t="s">
        <v>765</v>
      </c>
      <c r="E19" s="377" t="s">
        <v>1683</v>
      </c>
      <c r="F19" s="378" t="str">
        <f t="shared" si="0"/>
        <v>912 369-3336</v>
      </c>
    </row>
    <row r="20" spans="2:6" s="177" customFormat="1">
      <c r="B20" s="267" t="s">
        <v>768</v>
      </c>
      <c r="C20" s="267" t="s">
        <v>769</v>
      </c>
      <c r="D20" s="267" t="s">
        <v>770</v>
      </c>
      <c r="E20" s="267" t="s">
        <v>771</v>
      </c>
      <c r="F20" s="378" t="str">
        <f t="shared" si="0"/>
        <v>912 638-8873</v>
      </c>
    </row>
    <row r="21" spans="2:6" s="177" customFormat="1">
      <c r="F21" s="328"/>
    </row>
    <row r="22" spans="2:6" s="177" customFormat="1"/>
    <row r="23" spans="2:6" s="177" customFormat="1">
      <c r="B23" s="652" t="s">
        <v>1671</v>
      </c>
      <c r="C23" s="652"/>
      <c r="D23" s="652"/>
      <c r="E23" s="652"/>
      <c r="F23" s="652"/>
    </row>
    <row r="24" spans="2:6" s="177" customFormat="1">
      <c r="B24" s="652"/>
      <c r="C24" s="652"/>
      <c r="D24" s="652"/>
      <c r="E24" s="652"/>
      <c r="F24" s="652"/>
    </row>
    <row r="25" spans="2:6" s="177" customFormat="1">
      <c r="B25" s="652"/>
      <c r="C25" s="652"/>
      <c r="D25" s="652"/>
      <c r="E25" s="652"/>
      <c r="F25" s="652"/>
    </row>
    <row r="26" spans="2:6" s="177" customFormat="1">
      <c r="B26" s="652"/>
      <c r="C26" s="652"/>
      <c r="D26" s="652"/>
      <c r="E26" s="652"/>
      <c r="F26" s="652"/>
    </row>
    <row r="27" spans="2:6" s="177" customFormat="1"/>
    <row r="28" spans="2:6" s="177" customFormat="1"/>
    <row r="29" spans="2:6" s="177" customFormat="1"/>
    <row r="30" spans="2:6" s="177" customFormat="1"/>
  </sheetData>
  <mergeCells count="1">
    <mergeCell ref="B23:F26"/>
  </mergeCells>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F20"/>
  <sheetViews>
    <sheetView showGridLines="0" workbookViewId="0">
      <selection activeCell="F4" sqref="F4"/>
    </sheetView>
  </sheetViews>
  <sheetFormatPr defaultRowHeight="15.75"/>
  <cols>
    <col min="1" max="1" width="9.140625" style="142"/>
    <col min="2" max="3" width="15.7109375" style="142" customWidth="1"/>
    <col min="4" max="4" width="14.7109375" style="142" customWidth="1"/>
    <col min="5" max="5" width="5.28515625" style="142" customWidth="1"/>
    <col min="6" max="6" width="75" style="142" customWidth="1"/>
    <col min="7" max="7" width="15.7109375" style="142" customWidth="1"/>
    <col min="8" max="16384" width="9.140625" style="142"/>
  </cols>
  <sheetData>
    <row r="1" spans="1:6" ht="23.25">
      <c r="A1" s="33" t="s">
        <v>1696</v>
      </c>
      <c r="E1" s="638" t="s">
        <v>2056</v>
      </c>
    </row>
    <row r="2" spans="1:6" ht="23.25">
      <c r="A2" s="33" t="s">
        <v>1697</v>
      </c>
    </row>
    <row r="4" spans="1:6" ht="32.25" thickBot="1">
      <c r="B4" s="255" t="s">
        <v>205</v>
      </c>
      <c r="C4" s="256" t="s">
        <v>206</v>
      </c>
      <c r="D4" s="255" t="s">
        <v>1728</v>
      </c>
    </row>
    <row r="5" spans="1:6">
      <c r="B5" s="267" t="s">
        <v>1699</v>
      </c>
      <c r="C5" s="267" t="s">
        <v>1698</v>
      </c>
      <c r="D5" s="375">
        <v>72000</v>
      </c>
      <c r="F5" s="175" t="str">
        <f>C5&amp;" "&amp;B5&amp;" has made politcal contributions in the amount of "&amp;TEXT(D5,"$###,###")</f>
        <v>Alan Akers has made politcal contributions in the amount of $72,000</v>
      </c>
    </row>
    <row r="6" spans="1:6">
      <c r="B6" s="267" t="s">
        <v>1701</v>
      </c>
      <c r="C6" s="267" t="s">
        <v>1700</v>
      </c>
      <c r="D6" s="375">
        <v>46000</v>
      </c>
      <c r="F6" s="175" t="str">
        <f t="shared" ref="F6:F20" si="0">C6&amp;" "&amp;B6&amp;" has made politcal contributions in the amount of "&amp;TEXT(D6,"$###,###")</f>
        <v>Robin Allen has made politcal contributions in the amount of $46,000</v>
      </c>
    </row>
    <row r="7" spans="1:6">
      <c r="B7" s="267" t="s">
        <v>1703</v>
      </c>
      <c r="C7" s="267" t="s">
        <v>1702</v>
      </c>
      <c r="D7" s="375">
        <v>123700</v>
      </c>
      <c r="F7" s="175" t="str">
        <f t="shared" si="0"/>
        <v>Ricky Albright has made politcal contributions in the amount of $123,700</v>
      </c>
    </row>
    <row r="8" spans="1:6">
      <c r="B8" s="267" t="s">
        <v>1705</v>
      </c>
      <c r="C8" s="267" t="s">
        <v>1704</v>
      </c>
      <c r="D8" s="375">
        <v>324000</v>
      </c>
      <c r="F8" s="175" t="str">
        <f t="shared" si="0"/>
        <v>Tamara Andrews has made politcal contributions in the amount of $324,000</v>
      </c>
    </row>
    <row r="9" spans="1:6">
      <c r="B9" s="267" t="s">
        <v>1707</v>
      </c>
      <c r="C9" s="267" t="s">
        <v>1706</v>
      </c>
      <c r="D9" s="375">
        <v>53400</v>
      </c>
      <c r="F9" s="175" t="str">
        <f t="shared" si="0"/>
        <v>Joanna Arbo has made politcal contributions in the amount of $53,400</v>
      </c>
    </row>
    <row r="10" spans="1:6">
      <c r="B10" s="267" t="s">
        <v>1709</v>
      </c>
      <c r="C10" s="267" t="s">
        <v>1708</v>
      </c>
      <c r="D10" s="375">
        <v>189300</v>
      </c>
      <c r="F10" s="175" t="str">
        <f t="shared" si="0"/>
        <v>Donnie Aspinwall has made politcal contributions in the amount of $189,300</v>
      </c>
    </row>
    <row r="11" spans="1:6">
      <c r="B11" s="267" t="s">
        <v>1711</v>
      </c>
      <c r="C11" s="267" t="s">
        <v>1710</v>
      </c>
      <c r="D11" s="375">
        <v>210800</v>
      </c>
      <c r="F11" s="175" t="str">
        <f t="shared" si="0"/>
        <v>Kelly Astle has made politcal contributions in the amount of $210,800</v>
      </c>
    </row>
    <row r="12" spans="1:6">
      <c r="B12" s="267" t="s">
        <v>1713</v>
      </c>
      <c r="C12" s="267" t="s">
        <v>1712</v>
      </c>
      <c r="D12" s="375">
        <v>119000</v>
      </c>
      <c r="F12" s="175" t="str">
        <f t="shared" si="0"/>
        <v>Alphonso Atkinson has made politcal contributions in the amount of $119,000</v>
      </c>
    </row>
    <row r="13" spans="1:6">
      <c r="B13" s="267" t="s">
        <v>1713</v>
      </c>
      <c r="C13" s="267" t="s">
        <v>1714</v>
      </c>
      <c r="D13" s="375">
        <v>233000</v>
      </c>
      <c r="F13" s="175" t="str">
        <f t="shared" si="0"/>
        <v>Alvin Atkinson has made politcal contributions in the amount of $233,000</v>
      </c>
    </row>
    <row r="14" spans="1:6">
      <c r="B14" s="267" t="s">
        <v>1716</v>
      </c>
      <c r="C14" s="267" t="s">
        <v>1715</v>
      </c>
      <c r="D14" s="375">
        <v>145600</v>
      </c>
      <c r="F14" s="175" t="str">
        <f t="shared" si="0"/>
        <v>Danette Austin has made politcal contributions in the amount of $145,600</v>
      </c>
    </row>
    <row r="15" spans="1:6">
      <c r="B15" s="267" t="s">
        <v>1719</v>
      </c>
      <c r="C15" s="267" t="s">
        <v>1717</v>
      </c>
      <c r="D15" s="375">
        <v>189700</v>
      </c>
      <c r="F15" s="175" t="str">
        <f t="shared" si="0"/>
        <v>Yvonne Williams has made politcal contributions in the amount of $189,700</v>
      </c>
    </row>
    <row r="16" spans="1:6">
      <c r="B16" s="267" t="s">
        <v>1718</v>
      </c>
      <c r="C16" s="267" t="s">
        <v>1720</v>
      </c>
      <c r="D16" s="375">
        <v>67000</v>
      </c>
      <c r="F16" s="175" t="str">
        <f t="shared" si="0"/>
        <v>Susan Baker has made politcal contributions in the amount of $67,000</v>
      </c>
    </row>
    <row r="17" spans="2:6">
      <c r="B17" s="267" t="s">
        <v>1722</v>
      </c>
      <c r="C17" s="268" t="s">
        <v>1721</v>
      </c>
      <c r="D17" s="375">
        <v>125300</v>
      </c>
      <c r="F17" s="175" t="str">
        <f t="shared" si="0"/>
        <v>John Bakley has made politcal contributions in the amount of $125,300</v>
      </c>
    </row>
    <row r="18" spans="2:6">
      <c r="B18" s="267" t="s">
        <v>1724</v>
      </c>
      <c r="C18" s="267" t="s">
        <v>1723</v>
      </c>
      <c r="D18" s="375">
        <v>67400</v>
      </c>
      <c r="F18" s="175" t="str">
        <f t="shared" si="0"/>
        <v>Teresa Baldwin has made politcal contributions in the amount of $67,400</v>
      </c>
    </row>
    <row r="19" spans="2:6">
      <c r="B19" s="267" t="s">
        <v>1726</v>
      </c>
      <c r="C19" s="267" t="s">
        <v>1725</v>
      </c>
      <c r="D19" s="375">
        <v>128500</v>
      </c>
      <c r="F19" s="175" t="str">
        <f t="shared" si="0"/>
        <v>Richard Banks has made politcal contributions in the amount of $128,500</v>
      </c>
    </row>
    <row r="20" spans="2:6">
      <c r="B20" s="267" t="s">
        <v>1726</v>
      </c>
      <c r="C20" s="267" t="s">
        <v>1727</v>
      </c>
      <c r="D20" s="375">
        <v>260000</v>
      </c>
      <c r="F20" s="175" t="str">
        <f t="shared" si="0"/>
        <v>Charles Banks has made politcal contributions in the amount of $260,000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E8"/>
  <sheetViews>
    <sheetView showGridLines="0" workbookViewId="0">
      <selection activeCell="F4" sqref="F4"/>
    </sheetView>
  </sheetViews>
  <sheetFormatPr defaultRowHeight="15.75"/>
  <cols>
    <col min="1" max="2" width="9.140625" style="142"/>
    <col min="3" max="3" width="99.140625" style="142" customWidth="1"/>
    <col min="4" max="16384" width="9.140625" style="142"/>
  </cols>
  <sheetData>
    <row r="1" spans="1:5" ht="23.25">
      <c r="A1" s="33" t="s">
        <v>1729</v>
      </c>
      <c r="E1" s="638" t="s">
        <v>2056</v>
      </c>
    </row>
    <row r="4" spans="1:5" ht="23.25">
      <c r="C4" s="373" t="str">
        <f>CHAR(17)&amp;"Sales Order No. 57766"&amp;CHAR(12)&amp;", Customer: Sammy Hubble"&amp;CHAR(12)&amp;", Amount: $233.34"&amp;CHAR(8)</f>
        <v>_x0011_Sales Order No. 57766_x000C_, Customer: Sammy Hubble_x000C_, Amount: $233.34_x0008_</v>
      </c>
      <c r="D4" s="373"/>
    </row>
    <row r="8" spans="1:5" ht="23.25">
      <c r="C8" s="374" t="str">
        <f>CLEAN(C4)</f>
        <v>Sales Order No. 57766, Customer: Sammy Hubble, Amount: $233.34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E5"/>
  <sheetViews>
    <sheetView showGridLines="0" workbookViewId="0">
      <selection activeCell="F4" sqref="F4"/>
    </sheetView>
  </sheetViews>
  <sheetFormatPr defaultRowHeight="15.75"/>
  <cols>
    <col min="1" max="1" width="9.140625" style="142"/>
    <col min="2" max="2" width="33.5703125" style="142" customWidth="1"/>
    <col min="3" max="3" width="9.140625" style="142"/>
    <col min="4" max="4" width="24.7109375" style="142" bestFit="1" customWidth="1"/>
    <col min="5" max="16384" width="9.140625" style="142"/>
  </cols>
  <sheetData>
    <row r="1" spans="1:5" ht="23.25">
      <c r="A1" s="33" t="s">
        <v>1754</v>
      </c>
      <c r="E1" s="638" t="s">
        <v>2056</v>
      </c>
    </row>
    <row r="5" spans="1:5" ht="23.25">
      <c r="B5" s="33" t="s">
        <v>1755</v>
      </c>
      <c r="C5" s="33"/>
      <c r="D5" s="372">
        <f ca="1">NOW()</f>
        <v>40261.881381481478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1"/>
  <dimension ref="A1:M30"/>
  <sheetViews>
    <sheetView showGridLines="0" zoomScale="110" zoomScaleNormal="110" workbookViewId="0">
      <selection activeCell="F4" sqref="F4"/>
    </sheetView>
  </sheetViews>
  <sheetFormatPr defaultRowHeight="15"/>
  <cols>
    <col min="1" max="4" width="16" style="3" customWidth="1"/>
    <col min="5" max="11" width="13.28515625" style="3" customWidth="1"/>
    <col min="12" max="12" width="13.28515625" style="576" customWidth="1"/>
    <col min="13" max="13" width="13.28515625" style="3" customWidth="1"/>
    <col min="14" max="16" width="9.140625" style="3"/>
    <col min="17" max="17" width="9.5703125" style="3" customWidth="1"/>
    <col min="18" max="16384" width="9.140625" style="3"/>
  </cols>
  <sheetData>
    <row r="1" spans="1:13" ht="19.5">
      <c r="A1" s="538"/>
      <c r="B1" s="538"/>
      <c r="C1" s="538"/>
      <c r="D1" s="538"/>
      <c r="E1" s="644" t="s">
        <v>2056</v>
      </c>
      <c r="F1" s="566"/>
      <c r="G1" s="566"/>
      <c r="H1" s="566"/>
      <c r="I1" s="566"/>
      <c r="J1" s="566"/>
      <c r="K1" s="566"/>
      <c r="L1" s="567"/>
    </row>
    <row r="2" spans="1:13" ht="19.5">
      <c r="A2" s="1" t="s">
        <v>10</v>
      </c>
      <c r="B2" s="645"/>
      <c r="C2" s="645"/>
      <c r="D2" s="645"/>
      <c r="E2" s="566"/>
      <c r="F2" s="566"/>
      <c r="G2" s="566"/>
      <c r="H2" s="566"/>
      <c r="I2" s="566"/>
      <c r="J2" s="566"/>
      <c r="K2" s="566"/>
      <c r="L2" s="567"/>
    </row>
    <row r="3" spans="1:13" ht="19.5">
      <c r="A3" s="645"/>
      <c r="B3" s="645"/>
      <c r="C3" s="645"/>
      <c r="D3" s="645"/>
      <c r="E3" s="566"/>
      <c r="F3" s="566"/>
      <c r="G3" s="566"/>
      <c r="H3" s="566"/>
      <c r="I3" s="566"/>
      <c r="J3" s="566"/>
      <c r="K3" s="566"/>
      <c r="L3" s="567"/>
    </row>
    <row r="4" spans="1:13">
      <c r="A4" s="550"/>
      <c r="B4" s="566"/>
      <c r="C4" s="566"/>
      <c r="D4" s="566"/>
      <c r="E4" s="566"/>
      <c r="F4" s="566"/>
      <c r="G4" s="566"/>
      <c r="H4" s="566"/>
      <c r="I4" s="566"/>
      <c r="J4" s="566"/>
      <c r="K4" s="566"/>
      <c r="L4" s="568"/>
      <c r="M4" s="3" t="s">
        <v>7</v>
      </c>
    </row>
    <row r="5" spans="1:13" ht="15" customHeight="1">
      <c r="A5" s="569" t="s">
        <v>177</v>
      </c>
      <c r="B5" s="562" t="s">
        <v>624</v>
      </c>
      <c r="C5" s="570" t="s">
        <v>623</v>
      </c>
      <c r="D5" s="541" t="s">
        <v>9</v>
      </c>
      <c r="E5" s="566"/>
      <c r="F5" s="566"/>
      <c r="G5" s="566"/>
      <c r="H5" s="566"/>
      <c r="I5" s="566"/>
      <c r="J5" s="1"/>
      <c r="K5" s="566"/>
      <c r="L5" s="571"/>
      <c r="M5" s="3" t="s">
        <v>8</v>
      </c>
    </row>
    <row r="6" spans="1:13">
      <c r="A6" s="550" t="s">
        <v>621</v>
      </c>
      <c r="B6" s="551">
        <v>39508</v>
      </c>
      <c r="C6" s="572" t="s">
        <v>7</v>
      </c>
      <c r="D6" s="573">
        <f>IF(C6="Yes",235,0)</f>
        <v>235</v>
      </c>
      <c r="E6" s="566"/>
      <c r="F6" s="566"/>
      <c r="G6" s="566"/>
      <c r="H6" s="566"/>
      <c r="I6" s="566"/>
      <c r="J6" s="1"/>
      <c r="K6" s="566"/>
      <c r="L6" s="568"/>
    </row>
    <row r="7" spans="1:13">
      <c r="A7" s="550" t="s">
        <v>622</v>
      </c>
      <c r="B7" s="552">
        <v>38657</v>
      </c>
      <c r="C7" s="574" t="s">
        <v>8</v>
      </c>
      <c r="D7" s="575">
        <f>IF(C7="Yes",235,0)</f>
        <v>0</v>
      </c>
      <c r="E7" s="566"/>
      <c r="F7" s="566"/>
      <c r="G7" s="566"/>
      <c r="H7" s="566"/>
      <c r="I7" s="566"/>
      <c r="J7" s="1"/>
      <c r="K7" s="566"/>
      <c r="L7" s="568"/>
    </row>
    <row r="8" spans="1:13">
      <c r="A8" s="566" t="s">
        <v>5</v>
      </c>
      <c r="B8" s="551">
        <v>37773</v>
      </c>
      <c r="C8" s="572" t="s">
        <v>8</v>
      </c>
      <c r="D8" s="573">
        <f>IF(C8="Yes",235,0)</f>
        <v>0</v>
      </c>
      <c r="E8" s="566"/>
      <c r="F8" s="566"/>
      <c r="G8" s="566"/>
      <c r="H8" s="566"/>
      <c r="I8" s="566"/>
      <c r="J8" s="1"/>
      <c r="K8" s="566"/>
      <c r="L8" s="568"/>
    </row>
    <row r="9" spans="1:13">
      <c r="A9" s="553" t="s">
        <v>2</v>
      </c>
      <c r="B9" s="552">
        <v>39114</v>
      </c>
      <c r="C9" s="574" t="s">
        <v>7</v>
      </c>
      <c r="D9" s="575">
        <f>IF(C9="Yes",235,0)</f>
        <v>235</v>
      </c>
      <c r="E9" s="566"/>
      <c r="F9" s="566"/>
      <c r="G9" s="566"/>
      <c r="H9" s="566"/>
      <c r="I9" s="566"/>
      <c r="J9" s="1"/>
      <c r="K9" s="566"/>
      <c r="L9" s="568"/>
    </row>
    <row r="10" spans="1:13">
      <c r="A10" s="553" t="s">
        <v>618</v>
      </c>
      <c r="B10" s="554">
        <v>38770</v>
      </c>
      <c r="C10" s="57"/>
      <c r="D10" s="575">
        <f t="shared" ref="D10:D12" si="0">IF(C10="Yes",235,0)</f>
        <v>0</v>
      </c>
    </row>
    <row r="11" spans="1:13">
      <c r="A11" s="553" t="s">
        <v>619</v>
      </c>
      <c r="B11" s="554">
        <v>37353</v>
      </c>
      <c r="C11" s="57"/>
      <c r="D11" s="575">
        <f t="shared" si="0"/>
        <v>0</v>
      </c>
    </row>
    <row r="12" spans="1:13">
      <c r="A12" s="555" t="s">
        <v>620</v>
      </c>
      <c r="B12" s="554">
        <v>38566</v>
      </c>
      <c r="C12" s="57"/>
      <c r="D12" s="575">
        <f t="shared" si="0"/>
        <v>0</v>
      </c>
    </row>
    <row r="13" spans="1:13">
      <c r="C13" s="57"/>
    </row>
    <row r="14" spans="1:13">
      <c r="C14" s="57"/>
    </row>
    <row r="15" spans="1:13">
      <c r="C15" s="57"/>
    </row>
    <row r="16" spans="1:13">
      <c r="C16" s="57"/>
    </row>
    <row r="17" spans="3:3">
      <c r="C17" s="57"/>
    </row>
    <row r="18" spans="3:3">
      <c r="C18" s="57"/>
    </row>
    <row r="19" spans="3:3">
      <c r="C19" s="57"/>
    </row>
    <row r="20" spans="3:3">
      <c r="C20" s="57"/>
    </row>
    <row r="21" spans="3:3">
      <c r="C21" s="57"/>
    </row>
    <row r="22" spans="3:3">
      <c r="C22" s="57"/>
    </row>
    <row r="23" spans="3:3">
      <c r="C23" s="57"/>
    </row>
    <row r="24" spans="3:3">
      <c r="C24" s="57"/>
    </row>
    <row r="25" spans="3:3">
      <c r="C25" s="57"/>
    </row>
    <row r="26" spans="3:3">
      <c r="C26" s="57"/>
    </row>
    <row r="27" spans="3:3">
      <c r="C27" s="57"/>
    </row>
    <row r="28" spans="3:3">
      <c r="C28" s="57"/>
    </row>
    <row r="29" spans="3:3">
      <c r="C29" s="57"/>
    </row>
    <row r="30" spans="3:3">
      <c r="C30" s="57"/>
    </row>
  </sheetData>
  <mergeCells count="2">
    <mergeCell ref="J5:J9"/>
    <mergeCell ref="A2:D3"/>
  </mergeCells>
  <phoneticPr fontId="0" type="noConversion"/>
  <dataValidations count="1">
    <dataValidation type="list" allowBlank="1" showInputMessage="1" showErrorMessage="1" sqref="C6:C39">
      <formula1>$M$4:$M$5</formula1>
    </dataValidation>
  </dataValidation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40.xml><?xml version="1.0" encoding="utf-8"?>
<worksheet xmlns="http://schemas.openxmlformats.org/spreadsheetml/2006/main" xmlns:r="http://schemas.openxmlformats.org/officeDocument/2006/relationships">
  <dimension ref="A1:F8"/>
  <sheetViews>
    <sheetView showGridLines="0" workbookViewId="0">
      <selection activeCell="F4" sqref="F4"/>
    </sheetView>
  </sheetViews>
  <sheetFormatPr defaultRowHeight="15.75"/>
  <cols>
    <col min="1" max="1" width="9.140625" style="142"/>
    <col min="2" max="2" width="33.5703125" style="142" customWidth="1"/>
    <col min="3" max="3" width="9.140625" style="142"/>
    <col min="4" max="4" width="24.7109375" style="142" bestFit="1" customWidth="1"/>
    <col min="5" max="5" width="9.140625" style="142"/>
    <col min="6" max="6" width="31.42578125" style="142" customWidth="1"/>
    <col min="7" max="16384" width="9.140625" style="142"/>
  </cols>
  <sheetData>
    <row r="1" spans="1:6" ht="23.25">
      <c r="A1" s="33" t="s">
        <v>1756</v>
      </c>
      <c r="E1" s="638" t="s">
        <v>2056</v>
      </c>
    </row>
    <row r="5" spans="1:6" ht="23.25">
      <c r="B5" s="370" t="s">
        <v>1757</v>
      </c>
      <c r="C5" s="33"/>
      <c r="D5" s="371">
        <f t="shared" ref="D5" ca="1" si="0">TODAY()</f>
        <v>40261</v>
      </c>
    </row>
    <row r="6" spans="1:6">
      <c r="D6" s="254"/>
    </row>
    <row r="7" spans="1:6" ht="16.5" thickBot="1">
      <c r="D7" s="254"/>
      <c r="F7" s="280" t="s">
        <v>1043</v>
      </c>
    </row>
    <row r="8" spans="1:6">
      <c r="F8" s="142" t="s">
        <v>1758</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F10"/>
  <sheetViews>
    <sheetView showGridLines="0" workbookViewId="0">
      <selection activeCell="F4" sqref="F4"/>
    </sheetView>
  </sheetViews>
  <sheetFormatPr defaultRowHeight="15.75"/>
  <cols>
    <col min="1" max="4" width="9.140625" style="142"/>
    <col min="5" max="5" width="32.7109375" style="142" customWidth="1"/>
    <col min="6" max="16384" width="9.140625" style="142"/>
  </cols>
  <sheetData>
    <row r="1" spans="1:6" ht="30">
      <c r="A1" s="113" t="s">
        <v>1759</v>
      </c>
      <c r="B1" s="114"/>
      <c r="C1" s="3"/>
      <c r="D1" s="3"/>
      <c r="E1" s="637" t="s">
        <v>2056</v>
      </c>
      <c r="F1" s="3"/>
    </row>
    <row r="2" spans="1:6" ht="30">
      <c r="A2" s="113" t="s">
        <v>430</v>
      </c>
      <c r="B2" s="114"/>
      <c r="C2" s="3"/>
      <c r="D2" s="3"/>
      <c r="E2" s="368">
        <f>DATE(E7,E5,E6)</f>
        <v>39619</v>
      </c>
      <c r="F2" s="3"/>
    </row>
    <row r="3" spans="1:6">
      <c r="A3" s="3"/>
      <c r="B3" s="3"/>
      <c r="C3" s="3"/>
      <c r="D3" s="3"/>
      <c r="E3" s="3"/>
      <c r="F3" s="3"/>
    </row>
    <row r="4" spans="1:6">
      <c r="A4" s="3"/>
      <c r="B4" s="3"/>
      <c r="C4" s="3"/>
      <c r="D4" s="3"/>
      <c r="E4" s="3"/>
      <c r="F4" s="3"/>
    </row>
    <row r="5" spans="1:6" ht="26.25">
      <c r="A5" s="3"/>
      <c r="B5" s="3"/>
      <c r="C5" s="3"/>
      <c r="D5" s="3"/>
      <c r="E5" s="369">
        <v>6</v>
      </c>
      <c r="F5" s="3"/>
    </row>
    <row r="6" spans="1:6" ht="26.25">
      <c r="A6" s="3"/>
      <c r="B6" s="3"/>
      <c r="C6" s="3"/>
      <c r="D6" s="3"/>
      <c r="E6" s="369">
        <v>20</v>
      </c>
      <c r="F6" s="3"/>
    </row>
    <row r="7" spans="1:6" ht="26.25">
      <c r="A7" s="3"/>
      <c r="B7" s="3"/>
      <c r="C7" s="3"/>
      <c r="D7" s="3"/>
      <c r="E7" s="369">
        <v>2008</v>
      </c>
      <c r="F7" s="3"/>
    </row>
    <row r="8" spans="1:6">
      <c r="A8" s="3"/>
      <c r="B8" s="3"/>
      <c r="C8" s="3"/>
      <c r="D8" s="3"/>
      <c r="E8" s="3"/>
      <c r="F8" s="3"/>
    </row>
    <row r="9" spans="1:6">
      <c r="A9" s="3"/>
      <c r="B9" s="3"/>
      <c r="C9" s="3"/>
      <c r="D9" s="3"/>
      <c r="E9" s="3"/>
      <c r="F9" s="3"/>
    </row>
    <row r="10" spans="1:6">
      <c r="A10" s="3"/>
      <c r="B10" s="3"/>
      <c r="C10" s="3"/>
      <c r="D10" s="3"/>
      <c r="E10" s="3"/>
      <c r="F10" s="3"/>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H6"/>
  <sheetViews>
    <sheetView showGridLines="0" workbookViewId="0">
      <selection activeCell="F4" sqref="F4"/>
    </sheetView>
  </sheetViews>
  <sheetFormatPr defaultRowHeight="15.75"/>
  <cols>
    <col min="1" max="4" width="9.140625" style="142"/>
    <col min="5" max="6" width="19.85546875" style="142" customWidth="1"/>
    <col min="7" max="16384" width="9.140625" style="142"/>
  </cols>
  <sheetData>
    <row r="1" spans="1:8" ht="30">
      <c r="A1" s="113" t="s">
        <v>1759</v>
      </c>
      <c r="B1" s="114"/>
      <c r="C1" s="3"/>
      <c r="D1" s="3"/>
      <c r="E1" s="637" t="s">
        <v>2056</v>
      </c>
      <c r="F1" s="3"/>
      <c r="G1" s="3"/>
      <c r="H1" s="3"/>
    </row>
    <row r="2" spans="1:8" ht="30">
      <c r="A2" s="115" t="s">
        <v>72</v>
      </c>
      <c r="B2" s="114"/>
      <c r="C2" s="3"/>
      <c r="D2" s="3"/>
      <c r="E2" s="3"/>
      <c r="F2" s="3"/>
      <c r="G2" s="3"/>
      <c r="H2" s="3"/>
    </row>
    <row r="3" spans="1:8">
      <c r="A3" s="3"/>
      <c r="B3" s="3"/>
      <c r="C3" s="3"/>
      <c r="D3" s="3"/>
      <c r="E3" s="3"/>
      <c r="F3" s="3"/>
      <c r="G3" s="3"/>
      <c r="H3" s="3"/>
    </row>
    <row r="4" spans="1:8">
      <c r="A4" s="3"/>
      <c r="B4" s="3"/>
      <c r="C4" s="3"/>
      <c r="D4" s="3"/>
      <c r="E4" s="3"/>
      <c r="F4" s="3"/>
      <c r="G4" s="3"/>
      <c r="H4" s="3"/>
    </row>
    <row r="5" spans="1:8" ht="26.25">
      <c r="A5" s="3"/>
      <c r="B5" s="3"/>
      <c r="C5" s="3"/>
      <c r="D5" s="3"/>
      <c r="E5" s="118" t="s">
        <v>1760</v>
      </c>
      <c r="F5" s="117">
        <f>MONTH(E5)</f>
        <v>1</v>
      </c>
      <c r="G5" s="3"/>
      <c r="H5" s="3"/>
    </row>
    <row r="6" spans="1:8">
      <c r="A6" s="3"/>
      <c r="B6" s="3"/>
      <c r="C6" s="3"/>
      <c r="D6" s="3"/>
      <c r="E6" s="3"/>
      <c r="F6" s="3"/>
      <c r="G6" s="3"/>
      <c r="H6" s="3"/>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G15"/>
  <sheetViews>
    <sheetView showGridLines="0" workbookViewId="0">
      <selection activeCell="F4" sqref="F4"/>
    </sheetView>
  </sheetViews>
  <sheetFormatPr defaultRowHeight="15.75"/>
  <cols>
    <col min="1" max="4" width="9.140625" style="142"/>
    <col min="5" max="7" width="32.28515625" style="142" customWidth="1"/>
    <col min="8" max="16384" width="9.140625" style="142"/>
  </cols>
  <sheetData>
    <row r="1" spans="1:7" ht="30">
      <c r="A1" s="113" t="s">
        <v>1759</v>
      </c>
      <c r="B1" s="114"/>
      <c r="C1" s="3"/>
      <c r="D1" s="3"/>
      <c r="E1" s="637" t="s">
        <v>2056</v>
      </c>
      <c r="F1" s="3"/>
      <c r="G1" s="3"/>
    </row>
    <row r="2" spans="1:7" ht="30">
      <c r="A2" s="113" t="s">
        <v>67</v>
      </c>
      <c r="B2" s="114"/>
      <c r="C2" s="3"/>
      <c r="D2" s="3"/>
      <c r="E2" s="3"/>
      <c r="F2" s="3"/>
      <c r="G2" s="3"/>
    </row>
    <row r="3" spans="1:7">
      <c r="A3" s="3"/>
      <c r="B3" s="3"/>
      <c r="C3" s="3"/>
      <c r="D3" s="3"/>
      <c r="E3" s="3"/>
      <c r="F3" s="3"/>
      <c r="G3" s="3"/>
    </row>
    <row r="4" spans="1:7">
      <c r="A4" s="3"/>
      <c r="B4" s="3"/>
      <c r="C4" s="3"/>
      <c r="D4" s="3"/>
      <c r="E4" s="3"/>
      <c r="F4" s="3"/>
      <c r="G4" s="3"/>
    </row>
    <row r="5" spans="1:7" ht="26.25">
      <c r="A5" s="3"/>
      <c r="B5" s="3"/>
      <c r="C5" s="3"/>
      <c r="D5" s="3"/>
      <c r="E5" s="118" t="s">
        <v>1760</v>
      </c>
      <c r="F5" s="114">
        <f>DATEVALUE(E5)</f>
        <v>39449</v>
      </c>
      <c r="G5" s="3"/>
    </row>
    <row r="6" spans="1:7">
      <c r="A6" s="3"/>
      <c r="B6" s="3"/>
      <c r="C6" s="3"/>
      <c r="D6" s="3"/>
      <c r="E6" s="3"/>
      <c r="F6" s="3"/>
      <c r="G6" s="3"/>
    </row>
    <row r="7" spans="1:7">
      <c r="A7" s="3"/>
      <c r="B7" s="3"/>
      <c r="C7" s="3"/>
      <c r="D7" s="3"/>
      <c r="E7" s="3"/>
      <c r="F7" s="3"/>
      <c r="G7" s="3"/>
    </row>
    <row r="8" spans="1:7">
      <c r="A8" s="3"/>
      <c r="B8" s="3"/>
      <c r="C8" s="3"/>
      <c r="D8" s="3"/>
      <c r="E8" s="3"/>
      <c r="F8" s="3"/>
      <c r="G8" s="3"/>
    </row>
    <row r="9" spans="1:7" ht="26.25">
      <c r="A9" s="3"/>
      <c r="B9" s="3"/>
      <c r="C9" s="3"/>
      <c r="D9" s="3"/>
      <c r="E9" s="3"/>
      <c r="F9" s="117">
        <f>DAY(F5)</f>
        <v>2</v>
      </c>
      <c r="G9" s="3"/>
    </row>
    <row r="10" spans="1:7">
      <c r="A10" s="3"/>
      <c r="B10" s="3"/>
      <c r="C10" s="3"/>
      <c r="D10" s="3"/>
      <c r="E10" s="3"/>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row r="14" spans="1:7">
      <c r="A14" s="3"/>
      <c r="B14" s="3"/>
      <c r="C14" s="3"/>
      <c r="D14" s="3"/>
      <c r="E14" s="3"/>
      <c r="F14" s="3"/>
      <c r="G14" s="3"/>
    </row>
    <row r="15" spans="1:7" ht="26.25">
      <c r="A15" s="3"/>
      <c r="B15" s="114"/>
      <c r="C15" s="3"/>
      <c r="D15" s="3"/>
      <c r="E15" s="3"/>
      <c r="F15" s="3"/>
      <c r="G15" s="3"/>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G13"/>
  <sheetViews>
    <sheetView showGridLines="0" workbookViewId="0">
      <selection activeCell="F4" sqref="F4"/>
    </sheetView>
  </sheetViews>
  <sheetFormatPr defaultRowHeight="15.75"/>
  <cols>
    <col min="1" max="3" width="9.140625" style="142"/>
    <col min="4" max="4" width="29.7109375" style="142" customWidth="1"/>
    <col min="5" max="5" width="10" style="142" customWidth="1"/>
    <col min="6" max="6" width="29.7109375" style="142" customWidth="1"/>
    <col min="7" max="16384" width="9.140625" style="142"/>
  </cols>
  <sheetData>
    <row r="1" spans="1:7" ht="30">
      <c r="A1" s="113" t="s">
        <v>1759</v>
      </c>
      <c r="B1" s="114"/>
      <c r="C1" s="3"/>
      <c r="D1" s="3"/>
      <c r="E1" s="637" t="s">
        <v>2056</v>
      </c>
      <c r="F1" s="3"/>
      <c r="G1" s="3"/>
    </row>
    <row r="2" spans="1:7" ht="30">
      <c r="A2" s="113" t="s">
        <v>76</v>
      </c>
      <c r="B2" s="114"/>
      <c r="C2" s="3"/>
      <c r="D2" s="3"/>
      <c r="E2" s="3"/>
      <c r="F2" s="3"/>
      <c r="G2" s="3"/>
    </row>
    <row r="3" spans="1:7">
      <c r="A3" s="3"/>
      <c r="B3" s="3"/>
      <c r="C3" s="3"/>
      <c r="D3" s="3"/>
      <c r="E3" s="3"/>
      <c r="F3" s="3"/>
      <c r="G3" s="3"/>
    </row>
    <row r="4" spans="1:7">
      <c r="A4" s="3"/>
      <c r="B4" s="3"/>
      <c r="C4" s="3"/>
      <c r="D4" s="3"/>
      <c r="E4" s="3"/>
      <c r="F4" s="3"/>
      <c r="G4" s="3"/>
    </row>
    <row r="5" spans="1:7" ht="26.25">
      <c r="A5" s="3"/>
      <c r="B5" s="3"/>
      <c r="C5" s="3"/>
      <c r="D5" s="3"/>
      <c r="E5" s="3"/>
      <c r="F5" s="116">
        <v>39510</v>
      </c>
      <c r="G5" s="3"/>
    </row>
    <row r="6" spans="1:7">
      <c r="A6" s="3"/>
      <c r="B6" s="3"/>
      <c r="C6" s="3"/>
      <c r="D6" s="3"/>
      <c r="E6" s="3"/>
      <c r="F6" s="3"/>
      <c r="G6" s="3"/>
    </row>
    <row r="7" spans="1:7">
      <c r="A7" s="3"/>
      <c r="B7" s="3"/>
      <c r="C7" s="3"/>
      <c r="D7" s="3"/>
      <c r="E7" s="3"/>
      <c r="F7" s="3"/>
      <c r="G7" s="3"/>
    </row>
    <row r="8" spans="1:7">
      <c r="A8" s="3"/>
      <c r="B8" s="3"/>
      <c r="C8" s="3"/>
      <c r="D8" s="3"/>
      <c r="E8" s="3"/>
      <c r="F8" s="3"/>
      <c r="G8" s="3"/>
    </row>
    <row r="9" spans="1:7" ht="26.25">
      <c r="A9" s="3"/>
      <c r="B9" s="3"/>
      <c r="C9" s="3"/>
      <c r="D9" s="114" t="s">
        <v>1761</v>
      </c>
      <c r="E9" s="3"/>
      <c r="F9" s="117">
        <f>YEAR(F5)</f>
        <v>2008</v>
      </c>
      <c r="G9" s="3"/>
    </row>
    <row r="10" spans="1:7">
      <c r="A10" s="3"/>
      <c r="B10" s="3"/>
      <c r="C10" s="3"/>
      <c r="D10" s="3"/>
      <c r="E10" s="3"/>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G13"/>
  <sheetViews>
    <sheetView showGridLines="0" workbookViewId="0">
      <selection activeCell="F4" sqref="F4"/>
    </sheetView>
  </sheetViews>
  <sheetFormatPr defaultRowHeight="15.75"/>
  <cols>
    <col min="1" max="5" width="9.140625" style="142"/>
    <col min="6" max="6" width="23" style="142" customWidth="1"/>
    <col min="7" max="16384" width="9.140625" style="142"/>
  </cols>
  <sheetData>
    <row r="1" spans="1:7" ht="30">
      <c r="A1" s="113" t="s">
        <v>1759</v>
      </c>
      <c r="B1" s="114"/>
      <c r="C1" s="3"/>
      <c r="D1" s="3"/>
      <c r="E1" s="637" t="s">
        <v>2056</v>
      </c>
      <c r="F1" s="3"/>
      <c r="G1" s="3"/>
    </row>
    <row r="2" spans="1:7" ht="30">
      <c r="A2" s="113" t="s">
        <v>442</v>
      </c>
      <c r="B2" s="114"/>
      <c r="C2" s="3"/>
      <c r="D2" s="3"/>
      <c r="E2" s="3"/>
      <c r="F2" s="3"/>
      <c r="G2" s="3"/>
    </row>
    <row r="3" spans="1:7">
      <c r="A3" s="3"/>
      <c r="B3" s="3"/>
      <c r="C3" s="3"/>
      <c r="D3" s="3"/>
      <c r="E3" s="3"/>
      <c r="F3" s="3"/>
      <c r="G3" s="3"/>
    </row>
    <row r="4" spans="1:7">
      <c r="A4" s="3"/>
      <c r="B4" s="3"/>
      <c r="C4" s="3"/>
      <c r="D4" s="3"/>
      <c r="E4" s="3"/>
      <c r="F4" s="3"/>
      <c r="G4" s="3"/>
    </row>
    <row r="5" spans="1:7" ht="26.25">
      <c r="A5" s="3"/>
      <c r="B5" s="3"/>
      <c r="C5" s="3"/>
      <c r="D5" s="3"/>
      <c r="E5" s="3"/>
      <c r="F5" s="116">
        <v>39510</v>
      </c>
      <c r="G5" s="3"/>
    </row>
    <row r="6" spans="1:7">
      <c r="A6" s="3"/>
      <c r="B6" s="3"/>
      <c r="C6" s="3"/>
      <c r="D6" s="3"/>
      <c r="E6" s="3"/>
      <c r="F6" s="3"/>
      <c r="G6" s="3"/>
    </row>
    <row r="7" spans="1:7">
      <c r="A7" s="3"/>
      <c r="B7" s="3"/>
      <c r="C7" s="3"/>
      <c r="D7" s="3"/>
      <c r="E7" s="3"/>
      <c r="F7" s="3"/>
      <c r="G7" s="3"/>
    </row>
    <row r="8" spans="1:7">
      <c r="A8" s="3"/>
      <c r="B8" s="3"/>
      <c r="C8" s="3"/>
      <c r="D8" s="3"/>
      <c r="E8" s="3"/>
      <c r="F8" s="3"/>
      <c r="G8" s="3"/>
    </row>
    <row r="9" spans="1:7" ht="26.25">
      <c r="A9" s="3"/>
      <c r="B9" s="3"/>
      <c r="C9" s="3"/>
      <c r="D9" s="3"/>
      <c r="E9" s="3"/>
      <c r="F9" s="117">
        <f>WEEKDAY(F5)</f>
        <v>2</v>
      </c>
      <c r="G9" s="3"/>
    </row>
    <row r="10" spans="1:7">
      <c r="A10" s="3"/>
      <c r="B10" s="3"/>
      <c r="C10" s="3"/>
      <c r="D10" s="3"/>
      <c r="E10" s="3"/>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L169"/>
  <sheetViews>
    <sheetView showGridLines="0" zoomScale="80" zoomScaleNormal="80" workbookViewId="0">
      <selection activeCell="F4" sqref="F4"/>
    </sheetView>
  </sheetViews>
  <sheetFormatPr defaultRowHeight="26.25"/>
  <cols>
    <col min="1" max="1" width="3.42578125" style="3" customWidth="1"/>
    <col min="2" max="2" width="3.28515625" style="114" customWidth="1"/>
    <col min="3" max="4" width="3.28515625" style="3" customWidth="1"/>
    <col min="5" max="5" width="8.42578125" style="3" customWidth="1"/>
    <col min="6" max="6" width="27.85546875" style="3" customWidth="1"/>
    <col min="7" max="10" width="15.7109375" style="3" customWidth="1"/>
    <col min="11" max="11" width="15.85546875" style="3" customWidth="1"/>
    <col min="12" max="12" width="15.85546875" style="326" customWidth="1"/>
    <col min="13" max="26" width="10.28515625" style="3" customWidth="1"/>
    <col min="27" max="29" width="10" style="3" customWidth="1"/>
    <col min="30" max="16384" width="9.140625" style="3"/>
  </cols>
  <sheetData>
    <row r="1" spans="1:12">
      <c r="A1" s="288" t="s">
        <v>1762</v>
      </c>
      <c r="E1" s="637" t="s">
        <v>2056</v>
      </c>
      <c r="I1" s="114"/>
    </row>
    <row r="2" spans="1:12" s="327" customFormat="1" ht="15.75">
      <c r="B2" s="328"/>
      <c r="L2" s="329"/>
    </row>
    <row r="3" spans="1:12" ht="20.25" customHeight="1">
      <c r="B3" s="654" t="s">
        <v>1763</v>
      </c>
      <c r="C3" s="654"/>
      <c r="D3" s="654"/>
      <c r="E3" s="654"/>
      <c r="F3" s="654"/>
      <c r="G3" s="654"/>
      <c r="H3" s="654"/>
      <c r="I3" s="654"/>
      <c r="J3" s="654"/>
      <c r="K3" s="654"/>
      <c r="L3" s="654"/>
    </row>
    <row r="4" spans="1:12" s="189" customFormat="1" ht="20.25" customHeight="1">
      <c r="B4" s="655" t="s">
        <v>1764</v>
      </c>
      <c r="C4" s="655"/>
      <c r="D4" s="655"/>
      <c r="E4" s="655"/>
      <c r="F4" s="655"/>
      <c r="G4" s="655"/>
      <c r="H4" s="655"/>
      <c r="I4" s="655"/>
      <c r="J4" s="655"/>
      <c r="K4" s="655"/>
      <c r="L4" s="655"/>
    </row>
    <row r="5" spans="1:12" s="189" customFormat="1" ht="15.75">
      <c r="A5" s="330"/>
      <c r="B5" s="331"/>
      <c r="C5" s="331"/>
      <c r="D5" s="331"/>
      <c r="E5" s="331"/>
      <c r="F5" s="330"/>
      <c r="G5" s="332"/>
      <c r="H5" s="332"/>
      <c r="I5" s="332"/>
      <c r="J5" s="332"/>
      <c r="L5" s="333"/>
    </row>
    <row r="6" spans="1:12" s="189" customFormat="1" ht="31.5">
      <c r="A6" s="334" t="s">
        <v>723</v>
      </c>
      <c r="B6" s="335"/>
      <c r="C6" s="335"/>
      <c r="D6" s="335"/>
      <c r="E6" s="335"/>
      <c r="F6" s="334"/>
      <c r="G6" s="336">
        <v>2007</v>
      </c>
      <c r="H6" s="336">
        <v>2008</v>
      </c>
      <c r="I6" s="336">
        <v>2009</v>
      </c>
      <c r="J6" s="336">
        <v>2010</v>
      </c>
      <c r="K6" s="337" t="s">
        <v>1765</v>
      </c>
      <c r="L6" s="337" t="s">
        <v>1765</v>
      </c>
    </row>
    <row r="7" spans="1:12" s="189" customFormat="1" ht="15.75">
      <c r="A7" s="338"/>
      <c r="B7" s="339" t="s">
        <v>644</v>
      </c>
      <c r="C7" s="339"/>
      <c r="D7" s="339"/>
      <c r="E7" s="339"/>
      <c r="F7" s="338"/>
      <c r="G7" s="340"/>
      <c r="H7" s="340"/>
      <c r="I7" s="340"/>
      <c r="J7" s="340"/>
      <c r="L7" s="333"/>
    </row>
    <row r="8" spans="1:12" s="189" customFormat="1" ht="15.75">
      <c r="A8" s="341"/>
      <c r="B8" s="342"/>
      <c r="C8" s="342"/>
      <c r="D8" s="342" t="s">
        <v>645</v>
      </c>
      <c r="E8" s="342"/>
      <c r="F8" s="341"/>
      <c r="G8" s="340"/>
      <c r="H8" s="340"/>
      <c r="I8" s="340"/>
      <c r="J8" s="340"/>
      <c r="L8" s="333"/>
    </row>
    <row r="9" spans="1:12" ht="15.75">
      <c r="A9" s="343"/>
      <c r="B9" s="344"/>
      <c r="C9" s="344"/>
      <c r="D9" s="344"/>
      <c r="E9" s="344"/>
      <c r="F9" s="343" t="s">
        <v>646</v>
      </c>
      <c r="G9" s="345">
        <v>70422.05</v>
      </c>
      <c r="H9" s="345">
        <v>94671.26</v>
      </c>
      <c r="I9" s="345">
        <v>106124.86</v>
      </c>
      <c r="J9" s="345">
        <v>138510.9</v>
      </c>
      <c r="K9" s="345">
        <v>156362.30499999999</v>
      </c>
      <c r="L9" s="346">
        <f>ROUND(K9,-2)</f>
        <v>156400</v>
      </c>
    </row>
    <row r="10" spans="1:12" ht="15.75">
      <c r="A10" s="343"/>
      <c r="B10" s="344"/>
      <c r="C10" s="344"/>
      <c r="D10" s="344"/>
      <c r="E10" s="344"/>
      <c r="F10" s="343" t="s">
        <v>647</v>
      </c>
      <c r="G10" s="340">
        <v>-448.89</v>
      </c>
      <c r="H10" s="340">
        <v>-676.61</v>
      </c>
      <c r="I10" s="340">
        <v>0</v>
      </c>
      <c r="J10" s="340">
        <v>-213.1</v>
      </c>
      <c r="K10" s="340">
        <v>11.345000000000001</v>
      </c>
      <c r="L10" s="347">
        <f t="shared" ref="L10:L73" si="0">ROUND(K10,-2)</f>
        <v>0</v>
      </c>
    </row>
    <row r="11" spans="1:12" ht="17.25">
      <c r="A11" s="343"/>
      <c r="B11" s="344"/>
      <c r="C11" s="344"/>
      <c r="D11" s="344"/>
      <c r="E11" s="344"/>
      <c r="F11" s="343" t="s">
        <v>648</v>
      </c>
      <c r="G11" s="348">
        <v>0</v>
      </c>
      <c r="H11" s="348">
        <v>0</v>
      </c>
      <c r="I11" s="348">
        <v>-5.4</v>
      </c>
      <c r="J11" s="348">
        <v>0</v>
      </c>
      <c r="K11" s="348">
        <v>-2.7</v>
      </c>
      <c r="L11" s="349">
        <f t="shared" si="0"/>
        <v>0</v>
      </c>
    </row>
    <row r="12" spans="1:12" ht="17.25">
      <c r="A12" s="343"/>
      <c r="B12" s="344"/>
      <c r="C12" s="344"/>
      <c r="D12" s="350" t="s">
        <v>649</v>
      </c>
      <c r="E12" s="350"/>
      <c r="F12" s="351"/>
      <c r="G12" s="352">
        <f>SUBTOTAL(9, (G8:G11))</f>
        <v>69973.16</v>
      </c>
      <c r="H12" s="352">
        <f>SUBTOTAL(9, (H8:H11))</f>
        <v>93994.65</v>
      </c>
      <c r="I12" s="352">
        <f>SUBTOTAL(9, (I8:I11))</f>
        <v>106119.46</v>
      </c>
      <c r="J12" s="352">
        <f>SUBTOTAL(9, (J8:J11))</f>
        <v>138297.79999999999</v>
      </c>
      <c r="K12" s="352">
        <f>SUBTOTAL(9, (K8:K11))</f>
        <v>156370.94999999998</v>
      </c>
      <c r="L12" s="353">
        <f t="shared" si="0"/>
        <v>156400</v>
      </c>
    </row>
    <row r="13" spans="1:12" ht="17.25">
      <c r="A13" s="343"/>
      <c r="B13" s="344"/>
      <c r="C13" s="344"/>
      <c r="D13" s="350"/>
      <c r="E13" s="350"/>
      <c r="F13" s="351"/>
      <c r="G13" s="352"/>
      <c r="H13" s="352"/>
      <c r="I13" s="352"/>
      <c r="J13" s="352"/>
      <c r="K13" s="352"/>
      <c r="L13" s="353"/>
    </row>
    <row r="14" spans="1:12" ht="15.75">
      <c r="A14" s="341"/>
      <c r="B14" s="342"/>
      <c r="C14" s="342"/>
      <c r="D14" s="342" t="s">
        <v>650</v>
      </c>
      <c r="E14" s="342"/>
      <c r="F14" s="341"/>
      <c r="G14" s="340"/>
      <c r="H14" s="340"/>
      <c r="I14" s="340"/>
      <c r="J14" s="340"/>
      <c r="K14" s="340"/>
      <c r="L14" s="347"/>
    </row>
    <row r="15" spans="1:12" ht="15.75">
      <c r="A15" s="343"/>
      <c r="B15" s="344"/>
      <c r="C15" s="344"/>
      <c r="D15" s="344"/>
      <c r="E15" s="344"/>
      <c r="F15" s="343" t="s">
        <v>651</v>
      </c>
      <c r="G15" s="340">
        <v>50658.68</v>
      </c>
      <c r="H15" s="340">
        <v>67468.399999999994</v>
      </c>
      <c r="I15" s="340">
        <v>74382.48</v>
      </c>
      <c r="J15" s="340">
        <v>93780.59</v>
      </c>
      <c r="K15" s="340">
        <v>105642.49</v>
      </c>
      <c r="L15" s="347">
        <f t="shared" si="0"/>
        <v>105600</v>
      </c>
    </row>
    <row r="16" spans="1:12" ht="17.25">
      <c r="A16" s="343"/>
      <c r="B16" s="344"/>
      <c r="C16" s="344"/>
      <c r="D16" s="344"/>
      <c r="E16" s="344"/>
      <c r="F16" s="343" t="s">
        <v>652</v>
      </c>
      <c r="G16" s="348">
        <v>-158.78</v>
      </c>
      <c r="H16" s="348">
        <v>0</v>
      </c>
      <c r="I16" s="348">
        <v>0</v>
      </c>
      <c r="J16" s="348">
        <v>-181.43</v>
      </c>
      <c r="K16" s="348">
        <v>-102.04</v>
      </c>
      <c r="L16" s="349">
        <f t="shared" si="0"/>
        <v>-100</v>
      </c>
    </row>
    <row r="17" spans="1:12" ht="17.25">
      <c r="A17" s="343"/>
      <c r="B17" s="344"/>
      <c r="C17" s="344"/>
      <c r="D17" s="350" t="s">
        <v>653</v>
      </c>
      <c r="E17" s="350"/>
      <c r="F17" s="351"/>
      <c r="G17" s="352">
        <f>SUBTOTAL(9, (G14:G16))</f>
        <v>50499.9</v>
      </c>
      <c r="H17" s="352">
        <f>SUBTOTAL(9, (H14:H16))</f>
        <v>67468.399999999994</v>
      </c>
      <c r="I17" s="352">
        <f>SUBTOTAL(9, (I14:I16))</f>
        <v>74382.48</v>
      </c>
      <c r="J17" s="352">
        <f>SUBTOTAL(9, (J14:J16))</f>
        <v>93599.16</v>
      </c>
      <c r="K17" s="352">
        <f>SUBTOTAL(9, (K14:K16))</f>
        <v>105540.45000000001</v>
      </c>
      <c r="L17" s="353">
        <f t="shared" si="0"/>
        <v>105500</v>
      </c>
    </row>
    <row r="18" spans="1:12" ht="17.25">
      <c r="A18" s="343"/>
      <c r="B18" s="344"/>
      <c r="C18" s="344"/>
      <c r="D18" s="350"/>
      <c r="E18" s="350"/>
      <c r="F18" s="351"/>
      <c r="G18" s="352"/>
      <c r="H18" s="352"/>
      <c r="I18" s="352"/>
      <c r="J18" s="352"/>
      <c r="K18" s="352"/>
      <c r="L18" s="354"/>
    </row>
    <row r="19" spans="1:12" ht="17.25">
      <c r="A19" s="343"/>
      <c r="B19" s="344"/>
      <c r="C19" s="350" t="s">
        <v>654</v>
      </c>
      <c r="D19" s="350"/>
      <c r="E19" s="350"/>
      <c r="F19" s="351"/>
      <c r="G19" s="352">
        <f>G12-G17</f>
        <v>19473.260000000002</v>
      </c>
      <c r="H19" s="352">
        <f>H12-H17</f>
        <v>26526.25</v>
      </c>
      <c r="I19" s="352">
        <f>I12-I17</f>
        <v>31736.98000000001</v>
      </c>
      <c r="J19" s="352">
        <f>J12-J17</f>
        <v>44698.639999999985</v>
      </c>
      <c r="K19" s="352">
        <f>K12-K17</f>
        <v>50830.499999999971</v>
      </c>
      <c r="L19" s="353">
        <f t="shared" si="0"/>
        <v>50800</v>
      </c>
    </row>
    <row r="20" spans="1:12" ht="17.25">
      <c r="A20" s="343"/>
      <c r="B20" s="344"/>
      <c r="C20" s="350"/>
      <c r="D20" s="350"/>
      <c r="E20" s="350"/>
      <c r="F20" s="351"/>
      <c r="G20" s="352"/>
      <c r="H20" s="352"/>
      <c r="I20" s="352"/>
      <c r="J20" s="352"/>
      <c r="K20" s="352"/>
      <c r="L20" s="353"/>
    </row>
    <row r="21" spans="1:12" ht="15.75">
      <c r="A21" s="341"/>
      <c r="B21" s="342"/>
      <c r="C21" s="342"/>
      <c r="D21" s="342" t="s">
        <v>656</v>
      </c>
      <c r="E21" s="342"/>
      <c r="F21" s="341"/>
      <c r="G21" s="340"/>
      <c r="H21" s="340"/>
      <c r="I21" s="340"/>
      <c r="J21" s="340"/>
      <c r="K21" s="340"/>
      <c r="L21" s="346"/>
    </row>
    <row r="22" spans="1:12" ht="15.75">
      <c r="A22" s="341"/>
      <c r="B22" s="342"/>
      <c r="C22" s="342"/>
      <c r="D22" s="342"/>
      <c r="E22" s="342" t="s">
        <v>657</v>
      </c>
      <c r="F22" s="341"/>
      <c r="G22" s="340"/>
      <c r="H22" s="340"/>
      <c r="I22" s="340"/>
      <c r="J22" s="340"/>
      <c r="K22" s="340"/>
      <c r="L22" s="346"/>
    </row>
    <row r="23" spans="1:12" ht="15.75">
      <c r="A23" s="343"/>
      <c r="B23" s="344"/>
      <c r="C23" s="344"/>
      <c r="D23" s="344"/>
      <c r="E23" s="344"/>
      <c r="F23" s="343" t="s">
        <v>659</v>
      </c>
      <c r="G23" s="340">
        <v>760</v>
      </c>
      <c r="H23" s="340">
        <v>600</v>
      </c>
      <c r="I23" s="340">
        <v>0</v>
      </c>
      <c r="J23" s="340">
        <v>600</v>
      </c>
      <c r="K23" s="340">
        <v>220</v>
      </c>
      <c r="L23" s="347">
        <f t="shared" si="0"/>
        <v>200</v>
      </c>
    </row>
    <row r="24" spans="1:12" ht="17.25">
      <c r="A24" s="343"/>
      <c r="B24" s="344"/>
      <c r="C24" s="344"/>
      <c r="D24" s="344"/>
      <c r="E24" s="344"/>
      <c r="F24" s="343" t="s">
        <v>660</v>
      </c>
      <c r="G24" s="355">
        <v>0</v>
      </c>
      <c r="H24" s="355">
        <v>0</v>
      </c>
      <c r="I24" s="355">
        <v>250</v>
      </c>
      <c r="J24" s="355">
        <v>0</v>
      </c>
      <c r="K24" s="355">
        <v>125</v>
      </c>
      <c r="L24" s="356">
        <f t="shared" si="0"/>
        <v>100</v>
      </c>
    </row>
    <row r="25" spans="1:12" ht="17.25">
      <c r="A25" s="343"/>
      <c r="B25" s="344"/>
      <c r="C25" s="344"/>
      <c r="D25" s="344"/>
      <c r="E25" s="350" t="s">
        <v>661</v>
      </c>
      <c r="F25" s="351"/>
      <c r="G25" s="352">
        <f>SUBTOTAL(9, (G22:G24))</f>
        <v>760</v>
      </c>
      <c r="H25" s="352">
        <f>SUBTOTAL(9, (H22:H24))</f>
        <v>600</v>
      </c>
      <c r="I25" s="352">
        <f>SUBTOTAL(9, (I22:I24))</f>
        <v>250</v>
      </c>
      <c r="J25" s="352">
        <f>SUBTOTAL(9, (J22:J24))</f>
        <v>600</v>
      </c>
      <c r="K25" s="352">
        <f>SUBTOTAL(9, (K22:K24))</f>
        <v>345</v>
      </c>
      <c r="L25" s="353">
        <f t="shared" si="0"/>
        <v>300</v>
      </c>
    </row>
    <row r="26" spans="1:12" ht="17.25">
      <c r="A26" s="343"/>
      <c r="B26" s="344"/>
      <c r="C26" s="344"/>
      <c r="D26" s="344"/>
      <c r="E26" s="350"/>
      <c r="F26" s="351"/>
      <c r="G26" s="352"/>
      <c r="H26" s="352"/>
      <c r="I26" s="352"/>
      <c r="J26" s="352"/>
      <c r="K26" s="352"/>
      <c r="L26" s="353"/>
    </row>
    <row r="27" spans="1:12" ht="15.75">
      <c r="A27" s="343"/>
      <c r="B27" s="344"/>
      <c r="C27" s="344"/>
      <c r="D27" s="344"/>
      <c r="E27" s="344"/>
      <c r="F27" s="343" t="s">
        <v>662</v>
      </c>
      <c r="G27" s="340">
        <v>22</v>
      </c>
      <c r="H27" s="340">
        <v>22</v>
      </c>
      <c r="I27" s="340">
        <v>22</v>
      </c>
      <c r="J27" s="340">
        <v>43</v>
      </c>
      <c r="K27" s="340">
        <v>43</v>
      </c>
      <c r="L27" s="347">
        <f t="shared" si="0"/>
        <v>0</v>
      </c>
    </row>
    <row r="28" spans="1:12" ht="15.75">
      <c r="A28" s="343"/>
      <c r="B28" s="344"/>
      <c r="C28" s="344"/>
      <c r="D28" s="344"/>
      <c r="E28" s="344"/>
      <c r="F28" s="343" t="s">
        <v>663</v>
      </c>
      <c r="G28" s="340">
        <v>0</v>
      </c>
      <c r="H28" s="340">
        <v>0</v>
      </c>
      <c r="I28" s="340">
        <v>0</v>
      </c>
      <c r="J28" s="340">
        <v>47.63</v>
      </c>
      <c r="K28" s="340">
        <v>47.63</v>
      </c>
      <c r="L28" s="347">
        <f t="shared" si="0"/>
        <v>0</v>
      </c>
    </row>
    <row r="29" spans="1:12" ht="15.75">
      <c r="A29" s="341"/>
      <c r="B29" s="342"/>
      <c r="C29" s="342"/>
      <c r="D29" s="342"/>
      <c r="E29" s="342" t="s">
        <v>664</v>
      </c>
      <c r="F29" s="341"/>
      <c r="G29" s="340"/>
      <c r="H29" s="340"/>
      <c r="I29" s="340"/>
      <c r="J29" s="340"/>
      <c r="K29" s="340"/>
      <c r="L29" s="347"/>
    </row>
    <row r="30" spans="1:12" ht="15.75">
      <c r="A30" s="343"/>
      <c r="B30" s="344"/>
      <c r="C30" s="344"/>
      <c r="D30" s="344"/>
      <c r="E30" s="344"/>
      <c r="F30" s="343" t="s">
        <v>665</v>
      </c>
      <c r="G30" s="340">
        <v>250</v>
      </c>
      <c r="H30" s="340">
        <v>250</v>
      </c>
      <c r="I30" s="340">
        <v>250</v>
      </c>
      <c r="J30" s="340">
        <v>250</v>
      </c>
      <c r="K30" s="340">
        <v>250</v>
      </c>
      <c r="L30" s="347">
        <f t="shared" si="0"/>
        <v>300</v>
      </c>
    </row>
    <row r="31" spans="1:12" ht="17.25">
      <c r="A31" s="343"/>
      <c r="B31" s="344"/>
      <c r="C31" s="344"/>
      <c r="D31" s="344"/>
      <c r="E31" s="344"/>
      <c r="F31" s="343" t="s">
        <v>666</v>
      </c>
      <c r="G31" s="355">
        <v>75</v>
      </c>
      <c r="H31" s="355">
        <v>75</v>
      </c>
      <c r="I31" s="355">
        <v>75</v>
      </c>
      <c r="J31" s="355">
        <v>75</v>
      </c>
      <c r="K31" s="355">
        <v>75</v>
      </c>
      <c r="L31" s="356">
        <f t="shared" si="0"/>
        <v>100</v>
      </c>
    </row>
    <row r="32" spans="1:12" ht="17.25">
      <c r="A32" s="343"/>
      <c r="B32" s="344"/>
      <c r="C32" s="344"/>
      <c r="D32" s="344"/>
      <c r="E32" s="350" t="s">
        <v>667</v>
      </c>
      <c r="F32" s="351"/>
      <c r="G32" s="352">
        <f>SUBTOTAL(9, (G29:G31))</f>
        <v>325</v>
      </c>
      <c r="H32" s="352">
        <f>SUBTOTAL(9, (H29:H31))</f>
        <v>325</v>
      </c>
      <c r="I32" s="352">
        <f>SUBTOTAL(9, (I29:I31))</f>
        <v>325</v>
      </c>
      <c r="J32" s="352">
        <f>SUBTOTAL(9, (J29:J31))</f>
        <v>325</v>
      </c>
      <c r="K32" s="352">
        <f>SUBTOTAL(9, (K29:K31))</f>
        <v>325</v>
      </c>
      <c r="L32" s="353">
        <f t="shared" si="0"/>
        <v>300</v>
      </c>
    </row>
    <row r="33" spans="1:12" ht="17.25">
      <c r="A33" s="343"/>
      <c r="B33" s="344"/>
      <c r="C33" s="344"/>
      <c r="D33" s="344"/>
      <c r="E33" s="350"/>
      <c r="F33" s="351"/>
      <c r="G33" s="352"/>
      <c r="H33" s="352"/>
      <c r="I33" s="352"/>
      <c r="J33" s="352"/>
      <c r="K33" s="352"/>
      <c r="L33" s="353"/>
    </row>
    <row r="34" spans="1:12" ht="15.75">
      <c r="A34" s="343"/>
      <c r="B34" s="344"/>
      <c r="C34" s="344"/>
      <c r="D34" s="344"/>
      <c r="E34" s="344"/>
      <c r="F34" s="343" t="s">
        <v>668</v>
      </c>
      <c r="G34" s="340">
        <v>0</v>
      </c>
      <c r="H34" s="340">
        <v>544</v>
      </c>
      <c r="I34" s="340">
        <v>433</v>
      </c>
      <c r="J34" s="340">
        <v>103.47</v>
      </c>
      <c r="K34" s="340">
        <v>319.97000000000003</v>
      </c>
      <c r="L34" s="347">
        <f t="shared" si="0"/>
        <v>300</v>
      </c>
    </row>
    <row r="35" spans="1:12" ht="15.75">
      <c r="A35" s="343"/>
      <c r="B35" s="344"/>
      <c r="C35" s="344"/>
      <c r="D35" s="344"/>
      <c r="E35" s="344"/>
      <c r="F35" s="343" t="s">
        <v>669</v>
      </c>
      <c r="G35" s="340">
        <v>695.43</v>
      </c>
      <c r="H35" s="340">
        <v>0</v>
      </c>
      <c r="I35" s="340">
        <v>0</v>
      </c>
      <c r="J35" s="340">
        <v>0</v>
      </c>
      <c r="K35" s="340">
        <v>-347.71499999999997</v>
      </c>
      <c r="L35" s="347">
        <f t="shared" si="0"/>
        <v>-300</v>
      </c>
    </row>
    <row r="36" spans="1:12" ht="15.75">
      <c r="A36" s="343"/>
      <c r="B36" s="344"/>
      <c r="C36" s="344"/>
      <c r="D36" s="344"/>
      <c r="E36" s="344"/>
      <c r="F36" s="343" t="s">
        <v>670</v>
      </c>
      <c r="G36" s="340">
        <v>200</v>
      </c>
      <c r="H36" s="340">
        <v>322</v>
      </c>
      <c r="I36" s="340">
        <v>0</v>
      </c>
      <c r="J36" s="340">
        <v>0</v>
      </c>
      <c r="K36" s="340">
        <v>-99.999999999999901</v>
      </c>
      <c r="L36" s="347">
        <f t="shared" si="0"/>
        <v>-100</v>
      </c>
    </row>
    <row r="37" spans="1:12" ht="15.75">
      <c r="A37" s="343"/>
      <c r="B37" s="344"/>
      <c r="C37" s="344"/>
      <c r="D37" s="344"/>
      <c r="E37" s="344"/>
      <c r="F37" s="343" t="s">
        <v>671</v>
      </c>
      <c r="G37" s="340">
        <v>79</v>
      </c>
      <c r="H37" s="340">
        <v>222</v>
      </c>
      <c r="I37" s="340">
        <v>3656</v>
      </c>
      <c r="J37" s="340">
        <v>87.19</v>
      </c>
      <c r="K37" s="340">
        <v>1875.69</v>
      </c>
      <c r="L37" s="347">
        <f t="shared" si="0"/>
        <v>1900</v>
      </c>
    </row>
    <row r="38" spans="1:12" ht="15.75">
      <c r="A38" s="343"/>
      <c r="B38" s="344"/>
      <c r="C38" s="344"/>
      <c r="D38" s="344"/>
      <c r="E38" s="344"/>
      <c r="F38" s="343" t="s">
        <v>672</v>
      </c>
      <c r="G38" s="340">
        <v>430</v>
      </c>
      <c r="H38" s="340">
        <v>0</v>
      </c>
      <c r="I38" s="340">
        <v>0</v>
      </c>
      <c r="J38" s="340">
        <v>0</v>
      </c>
      <c r="K38" s="340">
        <v>-215</v>
      </c>
      <c r="L38" s="347">
        <f t="shared" si="0"/>
        <v>-200</v>
      </c>
    </row>
    <row r="39" spans="1:12" ht="15.75">
      <c r="A39" s="343"/>
      <c r="B39" s="344"/>
      <c r="C39" s="344"/>
      <c r="D39" s="344"/>
      <c r="E39" s="344"/>
      <c r="F39" s="343" t="s">
        <v>673</v>
      </c>
      <c r="G39" s="340">
        <v>0</v>
      </c>
      <c r="H39" s="340">
        <v>0</v>
      </c>
      <c r="I39" s="340">
        <v>0</v>
      </c>
      <c r="J39" s="340">
        <v>0</v>
      </c>
      <c r="K39" s="340">
        <v>0</v>
      </c>
      <c r="L39" s="347">
        <f t="shared" si="0"/>
        <v>0</v>
      </c>
    </row>
    <row r="40" spans="1:12" ht="15.75">
      <c r="A40" s="343"/>
      <c r="B40" s="344"/>
      <c r="C40" s="344"/>
      <c r="D40" s="344"/>
      <c r="E40" s="344"/>
      <c r="F40" s="343"/>
      <c r="G40" s="340"/>
      <c r="H40" s="340"/>
      <c r="I40" s="340"/>
      <c r="J40" s="340"/>
      <c r="K40" s="340"/>
      <c r="L40" s="347"/>
    </row>
    <row r="41" spans="1:12" ht="15.75">
      <c r="A41" s="341"/>
      <c r="B41" s="342"/>
      <c r="C41" s="342"/>
      <c r="D41" s="342"/>
      <c r="E41" s="342" t="s">
        <v>674</v>
      </c>
      <c r="F41" s="341"/>
      <c r="G41" s="340"/>
      <c r="H41" s="340"/>
      <c r="I41" s="340"/>
      <c r="J41" s="340"/>
      <c r="K41" s="340"/>
      <c r="L41" s="347"/>
    </row>
    <row r="42" spans="1:12" ht="17.25">
      <c r="A42" s="343"/>
      <c r="B42" s="344"/>
      <c r="C42" s="344"/>
      <c r="D42" s="344"/>
      <c r="E42" s="344"/>
      <c r="F42" s="343" t="s">
        <v>675</v>
      </c>
      <c r="G42" s="355">
        <v>345.76</v>
      </c>
      <c r="H42" s="355">
        <v>2344.9</v>
      </c>
      <c r="I42" s="355">
        <v>128</v>
      </c>
      <c r="J42" s="355">
        <v>235</v>
      </c>
      <c r="K42" s="355">
        <v>126.12</v>
      </c>
      <c r="L42" s="356">
        <f t="shared" si="0"/>
        <v>100</v>
      </c>
    </row>
    <row r="43" spans="1:12" ht="17.25">
      <c r="A43" s="343"/>
      <c r="B43" s="344"/>
      <c r="C43" s="344"/>
      <c r="D43" s="344"/>
      <c r="E43" s="350" t="s">
        <v>676</v>
      </c>
      <c r="F43" s="351"/>
      <c r="G43" s="355">
        <f>SUBTOTAL(9, (G41:G42))</f>
        <v>345.76</v>
      </c>
      <c r="H43" s="355">
        <f>SUBTOTAL(9, (H41:H42))</f>
        <v>2344.9</v>
      </c>
      <c r="I43" s="355">
        <f>SUBTOTAL(9, (I41:I42))</f>
        <v>128</v>
      </c>
      <c r="J43" s="355">
        <f>SUBTOTAL(9, (J41:J42))</f>
        <v>235</v>
      </c>
      <c r="K43" s="355">
        <f>SUBTOTAL(9, (K41:K42))</f>
        <v>126.12</v>
      </c>
      <c r="L43" s="356">
        <f t="shared" si="0"/>
        <v>100</v>
      </c>
    </row>
    <row r="44" spans="1:12" ht="17.25">
      <c r="A44" s="343"/>
      <c r="B44" s="344"/>
      <c r="C44" s="344"/>
      <c r="D44" s="344"/>
      <c r="E44" s="350"/>
      <c r="F44" s="351"/>
      <c r="G44" s="355"/>
      <c r="H44" s="355"/>
      <c r="I44" s="355"/>
      <c r="J44" s="355"/>
      <c r="K44" s="355"/>
      <c r="L44" s="357"/>
    </row>
    <row r="45" spans="1:12" ht="15.75">
      <c r="A45" s="341"/>
      <c r="B45" s="342"/>
      <c r="C45" s="342"/>
      <c r="D45" s="342"/>
      <c r="E45" s="342" t="s">
        <v>677</v>
      </c>
      <c r="F45" s="341"/>
      <c r="G45" s="340"/>
      <c r="H45" s="340"/>
      <c r="I45" s="340"/>
      <c r="J45" s="340"/>
      <c r="K45" s="340"/>
      <c r="L45" s="346"/>
    </row>
    <row r="46" spans="1:12" ht="15.75">
      <c r="A46" s="343"/>
      <c r="B46" s="344"/>
      <c r="C46" s="344"/>
      <c r="D46" s="344"/>
      <c r="E46" s="344"/>
      <c r="F46" s="343" t="s">
        <v>678</v>
      </c>
      <c r="G46" s="340">
        <v>118.57</v>
      </c>
      <c r="H46" s="340">
        <v>49.05</v>
      </c>
      <c r="I46" s="340">
        <v>0</v>
      </c>
      <c r="J46" s="340">
        <v>64.78</v>
      </c>
      <c r="K46" s="340">
        <v>5.4949999999999797</v>
      </c>
      <c r="L46" s="347">
        <f t="shared" si="0"/>
        <v>0</v>
      </c>
    </row>
    <row r="47" spans="1:12" ht="17.25">
      <c r="A47" s="343"/>
      <c r="B47" s="344"/>
      <c r="C47" s="344"/>
      <c r="D47" s="344"/>
      <c r="E47" s="344"/>
      <c r="F47" s="343" t="s">
        <v>679</v>
      </c>
      <c r="G47" s="355">
        <v>86</v>
      </c>
      <c r="H47" s="355">
        <v>0</v>
      </c>
      <c r="I47" s="355">
        <v>111.11</v>
      </c>
      <c r="J47" s="355">
        <v>0</v>
      </c>
      <c r="K47" s="355">
        <v>12.555</v>
      </c>
      <c r="L47" s="356">
        <f t="shared" si="0"/>
        <v>0</v>
      </c>
    </row>
    <row r="48" spans="1:12" ht="17.25">
      <c r="A48" s="343"/>
      <c r="B48" s="344"/>
      <c r="C48" s="344"/>
      <c r="D48" s="344"/>
      <c r="E48" s="350" t="s">
        <v>680</v>
      </c>
      <c r="F48" s="351"/>
      <c r="G48" s="352">
        <f>SUBTOTAL(9, (G45:G47))</f>
        <v>204.57</v>
      </c>
      <c r="H48" s="352">
        <f>SUBTOTAL(9, (H45:H47))</f>
        <v>49.05</v>
      </c>
      <c r="I48" s="352">
        <f>SUBTOTAL(9, (I45:I47))</f>
        <v>111.11</v>
      </c>
      <c r="J48" s="352">
        <f>SUBTOTAL(9, (J45:J47))</f>
        <v>64.78</v>
      </c>
      <c r="K48" s="352">
        <f>SUBTOTAL(9, (K45:K47))</f>
        <v>18.049999999999979</v>
      </c>
      <c r="L48" s="353">
        <f t="shared" si="0"/>
        <v>0</v>
      </c>
    </row>
    <row r="49" spans="1:12" ht="17.25">
      <c r="A49" s="343"/>
      <c r="B49" s="344"/>
      <c r="C49" s="344"/>
      <c r="D49" s="344"/>
      <c r="E49" s="350"/>
      <c r="F49" s="351"/>
      <c r="G49" s="352"/>
      <c r="H49" s="352"/>
      <c r="I49" s="352"/>
      <c r="J49" s="352"/>
      <c r="K49" s="352"/>
      <c r="L49" s="353"/>
    </row>
    <row r="50" spans="1:12" ht="15.75">
      <c r="A50" s="341"/>
      <c r="B50" s="342"/>
      <c r="C50" s="342"/>
      <c r="D50" s="342"/>
      <c r="E50" s="342" t="s">
        <v>681</v>
      </c>
      <c r="F50" s="341"/>
      <c r="G50" s="340"/>
      <c r="H50" s="340"/>
      <c r="I50" s="340"/>
      <c r="J50" s="340"/>
      <c r="K50" s="340"/>
      <c r="L50" s="346"/>
    </row>
    <row r="51" spans="1:12" ht="17.25">
      <c r="A51" s="343"/>
      <c r="B51" s="344"/>
      <c r="C51" s="344"/>
      <c r="D51" s="344"/>
      <c r="E51" s="344"/>
      <c r="F51" s="343" t="s">
        <v>682</v>
      </c>
      <c r="G51" s="355">
        <v>0</v>
      </c>
      <c r="H51" s="355">
        <v>500</v>
      </c>
      <c r="I51" s="355">
        <v>0</v>
      </c>
      <c r="J51" s="355">
        <v>1000</v>
      </c>
      <c r="K51" s="355">
        <v>1000</v>
      </c>
      <c r="L51" s="357">
        <f t="shared" si="0"/>
        <v>1000</v>
      </c>
    </row>
    <row r="52" spans="1:12" ht="17.25">
      <c r="A52" s="343"/>
      <c r="B52" s="344"/>
      <c r="C52" s="344"/>
      <c r="D52" s="344"/>
      <c r="E52" s="350" t="s">
        <v>683</v>
      </c>
      <c r="F52" s="351"/>
      <c r="G52" s="355">
        <f>SUBTOTAL(9, (G50:G51))</f>
        <v>0</v>
      </c>
      <c r="H52" s="355">
        <f>SUBTOTAL(9, (H50:H51))</f>
        <v>500</v>
      </c>
      <c r="I52" s="355">
        <f>SUBTOTAL(9, (I50:I51))</f>
        <v>0</v>
      </c>
      <c r="J52" s="355">
        <f>SUBTOTAL(9, (J50:J51))</f>
        <v>1000</v>
      </c>
      <c r="K52" s="355">
        <f>SUBTOTAL(9, (K50:K51))</f>
        <v>1000</v>
      </c>
      <c r="L52" s="357">
        <f t="shared" si="0"/>
        <v>1000</v>
      </c>
    </row>
    <row r="53" spans="1:12" ht="17.25">
      <c r="A53" s="343"/>
      <c r="B53" s="344"/>
      <c r="C53" s="344"/>
      <c r="D53" s="344"/>
      <c r="E53" s="350"/>
      <c r="F53" s="351"/>
      <c r="G53" s="355"/>
      <c r="H53" s="355"/>
      <c r="I53" s="355"/>
      <c r="J53" s="355"/>
      <c r="K53" s="355"/>
      <c r="L53" s="357"/>
    </row>
    <row r="54" spans="1:12" ht="17.25">
      <c r="A54" s="343"/>
      <c r="B54" s="344"/>
      <c r="C54" s="344"/>
      <c r="D54" s="344"/>
      <c r="E54" s="344"/>
      <c r="F54" s="343" t="s">
        <v>684</v>
      </c>
      <c r="G54" s="355">
        <v>0</v>
      </c>
      <c r="H54" s="355">
        <v>0</v>
      </c>
      <c r="I54" s="355">
        <v>0</v>
      </c>
      <c r="J54" s="355">
        <v>0</v>
      </c>
      <c r="K54" s="355">
        <v>0</v>
      </c>
      <c r="L54" s="356">
        <f t="shared" si="0"/>
        <v>0</v>
      </c>
    </row>
    <row r="55" spans="1:12" ht="17.25">
      <c r="A55" s="343"/>
      <c r="B55" s="344"/>
      <c r="C55" s="344"/>
      <c r="D55" s="350" t="s">
        <v>685</v>
      </c>
      <c r="E55" s="350"/>
      <c r="F55" s="351"/>
      <c r="G55" s="352">
        <f>G25+G27+G28+G32+G34+G35+G36+G37+G38+G39+G43+G48+G52+G54</f>
        <v>3061.7599999999998</v>
      </c>
      <c r="H55" s="352">
        <f>H25+H27+H28+H32+H34+H35+H36+H37+H38+H39+H43+H48+H52+H54</f>
        <v>4928.95</v>
      </c>
      <c r="I55" s="352">
        <f>I25+I27+I28+I32+I34+I35+I36+I37+I38+I39+I43+I48+I52+I54</f>
        <v>4925.1099999999997</v>
      </c>
      <c r="J55" s="352">
        <f>J25+J27+J28+J32+J34+J35+J36+J37+J38+J39+J43+J48+J52+J54</f>
        <v>2506.0699999999997</v>
      </c>
      <c r="K55" s="352">
        <f>K25+K27+K28+K32+K34+K35+K36+K37+K38+K39+K43+K48+K52+K54</f>
        <v>3437.7450000000003</v>
      </c>
      <c r="L55" s="353">
        <f t="shared" si="0"/>
        <v>3400</v>
      </c>
    </row>
    <row r="56" spans="1:12" ht="17.25">
      <c r="A56" s="343"/>
      <c r="B56" s="344"/>
      <c r="C56" s="344"/>
      <c r="D56" s="350"/>
      <c r="E56" s="350"/>
      <c r="F56" s="351"/>
      <c r="G56" s="352"/>
      <c r="H56" s="352"/>
      <c r="I56" s="352"/>
      <c r="J56" s="352"/>
      <c r="K56" s="352"/>
      <c r="L56" s="354"/>
    </row>
    <row r="57" spans="1:12" ht="17.25">
      <c r="A57" s="343"/>
      <c r="B57" s="358" t="s">
        <v>686</v>
      </c>
      <c r="C57" s="358"/>
      <c r="D57" s="358"/>
      <c r="E57" s="358"/>
      <c r="F57" s="359"/>
      <c r="G57" s="352">
        <f>G19-G55</f>
        <v>16411.500000000004</v>
      </c>
      <c r="H57" s="352">
        <f>H19-H55</f>
        <v>21597.3</v>
      </c>
      <c r="I57" s="352">
        <f>I19-I55</f>
        <v>26811.87000000001</v>
      </c>
      <c r="J57" s="352">
        <f>J19-J55</f>
        <v>42192.569999999985</v>
      </c>
      <c r="K57" s="352">
        <f>K19-K55</f>
        <v>47392.754999999968</v>
      </c>
      <c r="L57" s="353">
        <f t="shared" si="0"/>
        <v>47400</v>
      </c>
    </row>
    <row r="58" spans="1:12" ht="17.25">
      <c r="A58" s="343"/>
      <c r="B58" s="358"/>
      <c r="C58" s="358"/>
      <c r="D58" s="358"/>
      <c r="E58" s="358"/>
      <c r="F58" s="359"/>
      <c r="G58" s="352"/>
      <c r="H58" s="352"/>
      <c r="I58" s="352"/>
      <c r="J58" s="352"/>
      <c r="K58" s="352"/>
      <c r="L58" s="353"/>
    </row>
    <row r="59" spans="1:12" ht="15.75">
      <c r="A59" s="338"/>
      <c r="B59" s="339" t="s">
        <v>687</v>
      </c>
      <c r="C59" s="339"/>
      <c r="D59" s="339"/>
      <c r="E59" s="339"/>
      <c r="F59" s="338"/>
      <c r="G59" s="340"/>
      <c r="H59" s="340"/>
      <c r="I59" s="340"/>
      <c r="J59" s="340"/>
      <c r="K59" s="340"/>
      <c r="L59" s="346"/>
    </row>
    <row r="60" spans="1:12" ht="15.75">
      <c r="A60" s="338"/>
      <c r="B60" s="339"/>
      <c r="C60" s="339"/>
      <c r="D60" s="339"/>
      <c r="E60" s="339"/>
      <c r="F60" s="338"/>
      <c r="G60" s="340"/>
      <c r="H60" s="340"/>
      <c r="I60" s="340"/>
      <c r="J60" s="340"/>
      <c r="K60" s="340"/>
      <c r="L60" s="346"/>
    </row>
    <row r="61" spans="1:12" ht="15.75">
      <c r="A61" s="341"/>
      <c r="B61" s="342"/>
      <c r="C61" s="342"/>
      <c r="D61" s="342" t="s">
        <v>688</v>
      </c>
      <c r="E61" s="342"/>
      <c r="F61" s="341"/>
      <c r="G61" s="340"/>
      <c r="H61" s="340"/>
      <c r="I61" s="340"/>
      <c r="J61" s="340"/>
      <c r="K61" s="340"/>
      <c r="L61" s="346"/>
    </row>
    <row r="62" spans="1:12" ht="15.75">
      <c r="A62" s="343"/>
      <c r="B62" s="344"/>
      <c r="C62" s="344"/>
      <c r="D62" s="344"/>
      <c r="E62" s="344"/>
      <c r="F62" s="343" t="s">
        <v>689</v>
      </c>
      <c r="G62" s="340">
        <v>400</v>
      </c>
      <c r="H62" s="340">
        <v>0</v>
      </c>
      <c r="I62" s="340">
        <v>0</v>
      </c>
      <c r="J62" s="340">
        <v>0</v>
      </c>
      <c r="K62" s="340">
        <v>-200</v>
      </c>
      <c r="L62" s="347">
        <f t="shared" si="0"/>
        <v>-200</v>
      </c>
    </row>
    <row r="63" spans="1:12" ht="15.75">
      <c r="A63" s="343"/>
      <c r="B63" s="344"/>
      <c r="C63" s="344"/>
      <c r="D63" s="344"/>
      <c r="E63" s="344"/>
      <c r="F63" s="343" t="s">
        <v>690</v>
      </c>
      <c r="G63" s="340">
        <v>0</v>
      </c>
      <c r="H63" s="340">
        <v>0</v>
      </c>
      <c r="I63" s="340">
        <v>1.48</v>
      </c>
      <c r="J63" s="340">
        <v>0</v>
      </c>
      <c r="K63" s="340">
        <v>0.74</v>
      </c>
      <c r="L63" s="347">
        <f t="shared" si="0"/>
        <v>0</v>
      </c>
    </row>
    <row r="64" spans="1:12" ht="17.25">
      <c r="A64" s="343"/>
      <c r="B64" s="344"/>
      <c r="C64" s="344"/>
      <c r="D64" s="344"/>
      <c r="E64" s="344"/>
      <c r="F64" s="343" t="s">
        <v>691</v>
      </c>
      <c r="G64" s="355">
        <v>0</v>
      </c>
      <c r="H64" s="355">
        <v>528.42999999999995</v>
      </c>
      <c r="I64" s="355">
        <v>0</v>
      </c>
      <c r="J64" s="355">
        <v>526</v>
      </c>
      <c r="K64" s="355">
        <v>526</v>
      </c>
      <c r="L64" s="356">
        <f t="shared" si="0"/>
        <v>500</v>
      </c>
    </row>
    <row r="65" spans="1:12" ht="17.25">
      <c r="A65" s="343"/>
      <c r="B65" s="344"/>
      <c r="C65" s="344"/>
      <c r="D65" s="350" t="s">
        <v>692</v>
      </c>
      <c r="E65" s="350"/>
      <c r="F65" s="351"/>
      <c r="G65" s="352">
        <f>SUBTOTAL(9, (G61:G64))</f>
        <v>400</v>
      </c>
      <c r="H65" s="352">
        <f>SUBTOTAL(9, (H61:H64))</f>
        <v>528.42999999999995</v>
      </c>
      <c r="I65" s="352">
        <f>SUBTOTAL(9, (I61:I64))</f>
        <v>1.48</v>
      </c>
      <c r="J65" s="352">
        <f>SUBTOTAL(9, (J61:J64))</f>
        <v>526</v>
      </c>
      <c r="K65" s="352">
        <f>SUBTOTAL(9, (K61:K64))</f>
        <v>326.74</v>
      </c>
      <c r="L65" s="353">
        <f t="shared" si="0"/>
        <v>300</v>
      </c>
    </row>
    <row r="66" spans="1:12" ht="17.25">
      <c r="A66" s="343"/>
      <c r="B66" s="344"/>
      <c r="C66" s="344"/>
      <c r="D66" s="350"/>
      <c r="E66" s="350"/>
      <c r="F66" s="351"/>
      <c r="G66" s="352"/>
      <c r="H66" s="352"/>
      <c r="I66" s="352"/>
      <c r="J66" s="352"/>
      <c r="K66" s="352"/>
      <c r="L66" s="353"/>
    </row>
    <row r="67" spans="1:12" ht="17.25">
      <c r="A67" s="341"/>
      <c r="B67" s="342"/>
      <c r="C67" s="342"/>
      <c r="D67" s="342" t="s">
        <v>693</v>
      </c>
      <c r="E67" s="342"/>
      <c r="F67" s="341"/>
      <c r="G67" s="355"/>
      <c r="H67" s="355"/>
      <c r="I67" s="355"/>
      <c r="J67" s="355"/>
      <c r="K67" s="355"/>
      <c r="L67" s="357"/>
    </row>
    <row r="68" spans="1:12" ht="17.25">
      <c r="A68" s="343"/>
      <c r="B68" s="344"/>
      <c r="C68" s="344"/>
      <c r="D68" s="344"/>
      <c r="E68" s="344"/>
      <c r="F68" s="343" t="s">
        <v>694</v>
      </c>
      <c r="G68" s="355">
        <v>245</v>
      </c>
      <c r="H68" s="355">
        <v>289</v>
      </c>
      <c r="I68" s="355">
        <v>308.45</v>
      </c>
      <c r="J68" s="355">
        <v>178</v>
      </c>
      <c r="K68" s="355">
        <v>209.72499999999999</v>
      </c>
      <c r="L68" s="356">
        <f t="shared" si="0"/>
        <v>200</v>
      </c>
    </row>
    <row r="69" spans="1:12" ht="17.25">
      <c r="A69" s="343"/>
      <c r="B69" s="344"/>
      <c r="C69" s="344"/>
      <c r="D69" s="350" t="s">
        <v>695</v>
      </c>
      <c r="E69" s="350"/>
      <c r="F69" s="351"/>
      <c r="G69" s="355">
        <f>SUBTOTAL(9, (G67:G68))</f>
        <v>245</v>
      </c>
      <c r="H69" s="355">
        <f>SUBTOTAL(9, (H67:H68))</f>
        <v>289</v>
      </c>
      <c r="I69" s="355">
        <f>SUBTOTAL(9, (I67:I68))</f>
        <v>308.45</v>
      </c>
      <c r="J69" s="355">
        <f>SUBTOTAL(9, (J67:J68))</f>
        <v>178</v>
      </c>
      <c r="K69" s="355">
        <f>SUBTOTAL(9, (K67:K68))</f>
        <v>209.72499999999999</v>
      </c>
      <c r="L69" s="356">
        <f t="shared" si="0"/>
        <v>200</v>
      </c>
    </row>
    <row r="70" spans="1:12" ht="17.25">
      <c r="A70" s="343"/>
      <c r="B70" s="344"/>
      <c r="C70" s="344"/>
      <c r="D70" s="350"/>
      <c r="E70" s="350"/>
      <c r="F70" s="351"/>
      <c r="G70" s="355"/>
      <c r="H70" s="355"/>
      <c r="I70" s="355"/>
      <c r="J70" s="355"/>
      <c r="K70" s="355"/>
      <c r="L70" s="357"/>
    </row>
    <row r="71" spans="1:12" ht="17.25">
      <c r="A71" s="343"/>
      <c r="B71" s="358" t="s">
        <v>696</v>
      </c>
      <c r="C71" s="358"/>
      <c r="D71" s="358"/>
      <c r="E71" s="358"/>
      <c r="F71" s="359"/>
      <c r="G71" s="352">
        <f>G65-G69</f>
        <v>155</v>
      </c>
      <c r="H71" s="352">
        <f>H65-H69</f>
        <v>239.42999999999995</v>
      </c>
      <c r="I71" s="352">
        <f>I65-I69</f>
        <v>-306.96999999999997</v>
      </c>
      <c r="J71" s="352">
        <f>J65-J69</f>
        <v>348</v>
      </c>
      <c r="K71" s="352">
        <f>K65-K69</f>
        <v>117.01500000000001</v>
      </c>
      <c r="L71" s="353">
        <f t="shared" si="0"/>
        <v>100</v>
      </c>
    </row>
    <row r="72" spans="1:12" ht="17.25">
      <c r="A72" s="343"/>
      <c r="B72" s="358"/>
      <c r="C72" s="358"/>
      <c r="D72" s="358"/>
      <c r="E72" s="358"/>
      <c r="F72" s="359"/>
      <c r="G72" s="352"/>
      <c r="H72" s="352"/>
      <c r="I72" s="352"/>
      <c r="J72" s="352"/>
      <c r="K72" s="352"/>
      <c r="L72" s="353"/>
    </row>
    <row r="73" spans="1:12" ht="17.25">
      <c r="A73" s="360" t="s">
        <v>698</v>
      </c>
      <c r="B73" s="361"/>
      <c r="C73" s="361"/>
      <c r="D73" s="361"/>
      <c r="E73" s="361"/>
      <c r="F73" s="360"/>
      <c r="G73" s="362">
        <f>G57+G71</f>
        <v>16566.500000000004</v>
      </c>
      <c r="H73" s="362">
        <f>H57+H71</f>
        <v>21836.73</v>
      </c>
      <c r="I73" s="362">
        <f>I57+I71</f>
        <v>26504.900000000009</v>
      </c>
      <c r="J73" s="362">
        <f>J57+J71</f>
        <v>42540.569999999985</v>
      </c>
      <c r="K73" s="362">
        <f>K57+K71</f>
        <v>47509.769999999968</v>
      </c>
      <c r="L73" s="363">
        <f t="shared" si="0"/>
        <v>47500</v>
      </c>
    </row>
    <row r="74" spans="1:12" ht="15">
      <c r="B74" s="168"/>
      <c r="C74" s="168"/>
      <c r="D74" s="168"/>
      <c r="E74" s="168"/>
      <c r="F74" s="168"/>
      <c r="G74" s="168"/>
      <c r="H74" s="168"/>
      <c r="I74" s="168"/>
      <c r="J74" s="168"/>
      <c r="K74" s="168"/>
      <c r="L74" s="364"/>
    </row>
    <row r="75" spans="1:12" ht="15">
      <c r="B75" s="168"/>
      <c r="C75" s="168"/>
      <c r="D75" s="168"/>
      <c r="E75" s="168"/>
      <c r="F75" s="168"/>
      <c r="G75" s="365"/>
      <c r="H75" s="168"/>
      <c r="I75" s="168"/>
      <c r="J75" s="168"/>
      <c r="K75" s="168"/>
      <c r="L75" s="364"/>
    </row>
    <row r="76" spans="1:12" s="327" customFormat="1" ht="15.75">
      <c r="B76" s="328"/>
      <c r="L76" s="329"/>
    </row>
    <row r="77" spans="1:12" s="327" customFormat="1" ht="15.75">
      <c r="B77" s="328"/>
      <c r="L77" s="329"/>
    </row>
    <row r="78" spans="1:12" s="327" customFormat="1" ht="15.75">
      <c r="B78" s="328"/>
      <c r="L78" s="329"/>
    </row>
    <row r="79" spans="1:12" s="327" customFormat="1" ht="15.75">
      <c r="B79" s="328"/>
      <c r="L79" s="329"/>
    </row>
    <row r="80" spans="1:12" s="327" customFormat="1" ht="15.75">
      <c r="B80" s="328"/>
      <c r="L80" s="329"/>
    </row>
    <row r="81" spans="2:12" s="327" customFormat="1" ht="15.75">
      <c r="B81" s="328"/>
      <c r="L81" s="329"/>
    </row>
    <row r="82" spans="2:12" s="327" customFormat="1" ht="15.75">
      <c r="B82" s="328"/>
      <c r="L82" s="329"/>
    </row>
    <row r="83" spans="2:12" s="327" customFormat="1" ht="15.75">
      <c r="B83" s="328"/>
      <c r="L83" s="329"/>
    </row>
    <row r="84" spans="2:12" s="327" customFormat="1" ht="15.75">
      <c r="B84" s="328"/>
      <c r="L84" s="329"/>
    </row>
    <row r="85" spans="2:12" s="327" customFormat="1" ht="15.75">
      <c r="B85" s="328"/>
      <c r="L85" s="329"/>
    </row>
    <row r="86" spans="2:12" s="327" customFormat="1" ht="15.75">
      <c r="B86" s="328"/>
      <c r="L86" s="329"/>
    </row>
    <row r="87" spans="2:12" s="327" customFormat="1" ht="15.75">
      <c r="B87" s="328"/>
      <c r="L87" s="329"/>
    </row>
    <row r="88" spans="2:12" s="327" customFormat="1" ht="15.75">
      <c r="B88" s="328"/>
      <c r="L88" s="329"/>
    </row>
    <row r="89" spans="2:12" s="327" customFormat="1" ht="15.75">
      <c r="B89" s="328"/>
      <c r="L89" s="329"/>
    </row>
    <row r="90" spans="2:12" s="327" customFormat="1" ht="15.75">
      <c r="B90" s="328"/>
      <c r="L90" s="329"/>
    </row>
    <row r="91" spans="2:12" s="327" customFormat="1" ht="15.75">
      <c r="B91" s="328"/>
      <c r="L91" s="329"/>
    </row>
    <row r="92" spans="2:12" s="327" customFormat="1" ht="15.75">
      <c r="B92" s="328"/>
      <c r="L92" s="329"/>
    </row>
    <row r="93" spans="2:12" s="327" customFormat="1" ht="15.75">
      <c r="B93" s="328"/>
      <c r="L93" s="329"/>
    </row>
    <row r="94" spans="2:12" s="327" customFormat="1" ht="15.75">
      <c r="B94" s="328"/>
      <c r="L94" s="329"/>
    </row>
    <row r="95" spans="2:12" s="327" customFormat="1" ht="15.75">
      <c r="B95" s="328"/>
      <c r="L95" s="329"/>
    </row>
    <row r="96" spans="2:12" s="327" customFormat="1" ht="15.75">
      <c r="B96" s="328"/>
      <c r="L96" s="329"/>
    </row>
    <row r="97" spans="2:12" s="327" customFormat="1" ht="15.75">
      <c r="B97" s="328"/>
      <c r="L97" s="329"/>
    </row>
    <row r="98" spans="2:12" s="327" customFormat="1" ht="15.75">
      <c r="B98" s="328"/>
      <c r="L98" s="329"/>
    </row>
    <row r="99" spans="2:12" s="327" customFormat="1" ht="15.75">
      <c r="B99" s="328"/>
      <c r="L99" s="329"/>
    </row>
    <row r="100" spans="2:12" s="327" customFormat="1" ht="15.75">
      <c r="B100" s="328"/>
      <c r="L100" s="329"/>
    </row>
    <row r="101" spans="2:12" s="327" customFormat="1" ht="15.75">
      <c r="B101" s="328"/>
      <c r="L101" s="329"/>
    </row>
    <row r="102" spans="2:12" s="327" customFormat="1" ht="15.75">
      <c r="B102" s="328"/>
      <c r="L102" s="329"/>
    </row>
    <row r="103" spans="2:12" s="327" customFormat="1" ht="15.75">
      <c r="B103" s="328"/>
      <c r="L103" s="329"/>
    </row>
    <row r="104" spans="2:12" s="327" customFormat="1" ht="15.75">
      <c r="B104" s="328"/>
      <c r="L104" s="329"/>
    </row>
    <row r="105" spans="2:12" s="327" customFormat="1" ht="15.75">
      <c r="B105" s="328"/>
      <c r="L105" s="329"/>
    </row>
    <row r="106" spans="2:12" s="327" customFormat="1" ht="15.75">
      <c r="B106" s="328"/>
      <c r="L106" s="329"/>
    </row>
    <row r="107" spans="2:12" s="327" customFormat="1" ht="15.75">
      <c r="B107" s="328"/>
      <c r="L107" s="329"/>
    </row>
    <row r="108" spans="2:12" s="327" customFormat="1" ht="15.75">
      <c r="B108" s="328"/>
      <c r="L108" s="329"/>
    </row>
    <row r="109" spans="2:12" s="327" customFormat="1" ht="15.75">
      <c r="B109" s="328"/>
      <c r="L109" s="329"/>
    </row>
    <row r="110" spans="2:12" s="327" customFormat="1" ht="15.75">
      <c r="B110" s="328"/>
      <c r="L110" s="329"/>
    </row>
    <row r="111" spans="2:12" s="327" customFormat="1" ht="15.75">
      <c r="B111" s="328"/>
      <c r="L111" s="329"/>
    </row>
    <row r="112" spans="2:12" s="327" customFormat="1" ht="15.75">
      <c r="B112" s="328"/>
      <c r="L112" s="329"/>
    </row>
    <row r="113" spans="2:12" s="327" customFormat="1" ht="15.75">
      <c r="B113" s="328"/>
      <c r="L113" s="329"/>
    </row>
    <row r="114" spans="2:12" s="366" customFormat="1">
      <c r="B114" s="210"/>
      <c r="L114" s="367"/>
    </row>
    <row r="115" spans="2:12" s="366" customFormat="1">
      <c r="B115" s="210"/>
      <c r="L115" s="367"/>
    </row>
    <row r="116" spans="2:12" s="366" customFormat="1">
      <c r="B116" s="210"/>
      <c r="L116" s="367"/>
    </row>
    <row r="117" spans="2:12" s="366" customFormat="1">
      <c r="B117" s="210"/>
      <c r="L117" s="367"/>
    </row>
    <row r="118" spans="2:12" s="366" customFormat="1">
      <c r="B118" s="210"/>
      <c r="L118" s="367"/>
    </row>
    <row r="119" spans="2:12" s="366" customFormat="1">
      <c r="B119" s="210"/>
      <c r="L119" s="367"/>
    </row>
    <row r="120" spans="2:12" s="366" customFormat="1">
      <c r="B120" s="210"/>
      <c r="L120" s="367"/>
    </row>
    <row r="121" spans="2:12" s="366" customFormat="1">
      <c r="B121" s="210"/>
      <c r="L121" s="367"/>
    </row>
    <row r="122" spans="2:12" s="366" customFormat="1">
      <c r="B122" s="210"/>
      <c r="L122" s="367"/>
    </row>
    <row r="123" spans="2:12" s="366" customFormat="1">
      <c r="B123" s="210"/>
      <c r="L123" s="367"/>
    </row>
    <row r="124" spans="2:12" s="366" customFormat="1">
      <c r="B124" s="210"/>
      <c r="L124" s="367"/>
    </row>
    <row r="125" spans="2:12" s="366" customFormat="1">
      <c r="B125" s="210"/>
      <c r="L125" s="367"/>
    </row>
    <row r="126" spans="2:12" s="366" customFormat="1">
      <c r="B126" s="210"/>
      <c r="L126" s="367"/>
    </row>
    <row r="127" spans="2:12" s="366" customFormat="1">
      <c r="B127" s="210"/>
      <c r="L127" s="367"/>
    </row>
    <row r="128" spans="2:12" s="366" customFormat="1">
      <c r="B128" s="210"/>
      <c r="L128" s="367"/>
    </row>
    <row r="129" spans="2:12" s="366" customFormat="1">
      <c r="B129" s="210"/>
      <c r="L129" s="367"/>
    </row>
    <row r="130" spans="2:12" s="366" customFormat="1">
      <c r="B130" s="210"/>
      <c r="L130" s="367"/>
    </row>
    <row r="131" spans="2:12" s="366" customFormat="1">
      <c r="B131" s="210"/>
      <c r="L131" s="367"/>
    </row>
    <row r="132" spans="2:12" s="366" customFormat="1">
      <c r="B132" s="210"/>
      <c r="L132" s="367"/>
    </row>
    <row r="133" spans="2:12" s="366" customFormat="1">
      <c r="B133" s="210"/>
      <c r="L133" s="367"/>
    </row>
    <row r="134" spans="2:12" s="366" customFormat="1">
      <c r="B134" s="210"/>
      <c r="L134" s="367"/>
    </row>
    <row r="135" spans="2:12" s="366" customFormat="1">
      <c r="B135" s="210"/>
      <c r="L135" s="367"/>
    </row>
    <row r="136" spans="2:12" s="366" customFormat="1">
      <c r="B136" s="210"/>
      <c r="L136" s="367"/>
    </row>
    <row r="137" spans="2:12" s="366" customFormat="1">
      <c r="B137" s="210"/>
      <c r="L137" s="367"/>
    </row>
    <row r="138" spans="2:12" s="366" customFormat="1">
      <c r="B138" s="210"/>
      <c r="L138" s="367"/>
    </row>
    <row r="139" spans="2:12" s="366" customFormat="1">
      <c r="B139" s="210"/>
      <c r="L139" s="367"/>
    </row>
    <row r="140" spans="2:12" s="366" customFormat="1">
      <c r="B140" s="210"/>
      <c r="L140" s="367"/>
    </row>
    <row r="141" spans="2:12" s="366" customFormat="1">
      <c r="B141" s="210"/>
      <c r="L141" s="367"/>
    </row>
    <row r="142" spans="2:12" s="366" customFormat="1">
      <c r="B142" s="210"/>
      <c r="L142" s="367"/>
    </row>
    <row r="143" spans="2:12" s="366" customFormat="1">
      <c r="B143" s="210"/>
      <c r="L143" s="367"/>
    </row>
    <row r="144" spans="2:12" s="366" customFormat="1">
      <c r="B144" s="210"/>
      <c r="L144" s="367"/>
    </row>
    <row r="145" spans="2:12" s="366" customFormat="1">
      <c r="B145" s="210"/>
      <c r="L145" s="367"/>
    </row>
    <row r="146" spans="2:12" s="366" customFormat="1">
      <c r="B146" s="210"/>
      <c r="L146" s="367"/>
    </row>
    <row r="147" spans="2:12" s="366" customFormat="1">
      <c r="B147" s="210"/>
      <c r="L147" s="367"/>
    </row>
    <row r="148" spans="2:12" s="366" customFormat="1">
      <c r="B148" s="210"/>
      <c r="L148" s="367"/>
    </row>
    <row r="149" spans="2:12" s="366" customFormat="1">
      <c r="B149" s="210"/>
      <c r="L149" s="367"/>
    </row>
    <row r="150" spans="2:12" s="366" customFormat="1">
      <c r="B150" s="210"/>
      <c r="L150" s="367"/>
    </row>
    <row r="151" spans="2:12" s="366" customFormat="1">
      <c r="B151" s="210"/>
      <c r="L151" s="367"/>
    </row>
    <row r="152" spans="2:12" s="366" customFormat="1">
      <c r="B152" s="210"/>
      <c r="L152" s="367"/>
    </row>
    <row r="153" spans="2:12" s="366" customFormat="1">
      <c r="B153" s="210"/>
      <c r="L153" s="367"/>
    </row>
    <row r="154" spans="2:12" s="366" customFormat="1">
      <c r="B154" s="210"/>
      <c r="L154" s="367"/>
    </row>
    <row r="155" spans="2:12" s="366" customFormat="1">
      <c r="B155" s="210"/>
      <c r="L155" s="367"/>
    </row>
    <row r="156" spans="2:12" s="366" customFormat="1">
      <c r="B156" s="210"/>
      <c r="L156" s="367"/>
    </row>
    <row r="157" spans="2:12" s="366" customFormat="1">
      <c r="B157" s="210"/>
      <c r="L157" s="367"/>
    </row>
    <row r="158" spans="2:12" s="366" customFormat="1">
      <c r="B158" s="210"/>
      <c r="L158" s="367"/>
    </row>
    <row r="159" spans="2:12" s="366" customFormat="1">
      <c r="B159" s="210"/>
      <c r="L159" s="367"/>
    </row>
    <row r="160" spans="2:12" s="366" customFormat="1">
      <c r="B160" s="210"/>
      <c r="L160" s="367"/>
    </row>
    <row r="161" spans="2:12" s="366" customFormat="1">
      <c r="B161" s="210"/>
      <c r="L161" s="367"/>
    </row>
    <row r="162" spans="2:12" s="366" customFormat="1">
      <c r="B162" s="210"/>
      <c r="L162" s="367"/>
    </row>
    <row r="163" spans="2:12" s="366" customFormat="1">
      <c r="B163" s="210"/>
      <c r="L163" s="367"/>
    </row>
    <row r="164" spans="2:12" s="366" customFormat="1">
      <c r="B164" s="210"/>
      <c r="L164" s="367"/>
    </row>
    <row r="165" spans="2:12" s="366" customFormat="1">
      <c r="B165" s="210"/>
      <c r="L165" s="367"/>
    </row>
    <row r="166" spans="2:12" s="366" customFormat="1">
      <c r="B166" s="210"/>
      <c r="L166" s="367"/>
    </row>
    <row r="167" spans="2:12" s="366" customFormat="1">
      <c r="B167" s="210"/>
      <c r="L167" s="367"/>
    </row>
    <row r="168" spans="2:12" s="366" customFormat="1">
      <c r="B168" s="210"/>
      <c r="L168" s="367"/>
    </row>
    <row r="169" spans="2:12" s="366" customFormat="1">
      <c r="B169" s="210"/>
      <c r="L169" s="367"/>
    </row>
  </sheetData>
  <mergeCells count="2">
    <mergeCell ref="B3:L3"/>
    <mergeCell ref="B4:L4"/>
  </mergeCells>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I18"/>
  <sheetViews>
    <sheetView showGridLines="0" workbookViewId="0">
      <selection activeCell="F4" sqref="F4"/>
    </sheetView>
  </sheetViews>
  <sheetFormatPr defaultRowHeight="15.75"/>
  <cols>
    <col min="1" max="5" width="9.140625" style="319"/>
    <col min="6" max="6" width="10.85546875" style="319" customWidth="1"/>
    <col min="7" max="16384" width="9.140625" style="319"/>
  </cols>
  <sheetData>
    <row r="1" spans="1:9" ht="31.5">
      <c r="A1" s="209" t="s">
        <v>1766</v>
      </c>
      <c r="B1" s="210"/>
      <c r="C1" s="211"/>
      <c r="D1" s="211"/>
      <c r="E1" s="639" t="s">
        <v>2056</v>
      </c>
      <c r="F1" s="211"/>
      <c r="G1" s="211"/>
    </row>
    <row r="4" spans="1:9">
      <c r="C4" s="320" t="s">
        <v>1768</v>
      </c>
    </row>
    <row r="5" spans="1:9">
      <c r="C5" s="319">
        <v>5.1111000000000004</v>
      </c>
      <c r="F5" s="324">
        <f t="shared" ref="F5:F10" si="0">ROUNDDOWN($C5,1)</f>
        <v>5.0999999999999996</v>
      </c>
      <c r="G5" s="324">
        <f t="shared" ref="G5:G10" si="1">ROUNDDOWN($C5,2)</f>
        <v>5.1100000000000003</v>
      </c>
      <c r="H5" s="324">
        <f t="shared" ref="H5:H10" si="2">ROUNDDOWN($C5,3)</f>
        <v>5.1109999999999998</v>
      </c>
      <c r="I5" s="324">
        <f t="shared" ref="I5:I10" si="3">ROUNDDOWN($C5,4)</f>
        <v>5.1111000000000004</v>
      </c>
    </row>
    <row r="6" spans="1:9">
      <c r="C6" s="319">
        <v>5.2222</v>
      </c>
      <c r="F6" s="324">
        <f t="shared" si="0"/>
        <v>5.2</v>
      </c>
      <c r="G6" s="324">
        <f t="shared" si="1"/>
        <v>5.22</v>
      </c>
      <c r="H6" s="324">
        <f t="shared" si="2"/>
        <v>5.2220000000000004</v>
      </c>
      <c r="I6" s="324">
        <f t="shared" si="3"/>
        <v>5.2222</v>
      </c>
    </row>
    <row r="7" spans="1:9">
      <c r="C7" s="319">
        <v>5.3333000000000004</v>
      </c>
      <c r="F7" s="324">
        <f t="shared" si="0"/>
        <v>5.3</v>
      </c>
      <c r="G7" s="324">
        <f t="shared" si="1"/>
        <v>5.33</v>
      </c>
      <c r="H7" s="324">
        <f t="shared" si="2"/>
        <v>5.3330000000000002</v>
      </c>
      <c r="I7" s="324">
        <f t="shared" si="3"/>
        <v>5.3333000000000004</v>
      </c>
    </row>
    <row r="8" spans="1:9">
      <c r="C8" s="319">
        <v>5.4443999999999999</v>
      </c>
      <c r="F8" s="324">
        <f t="shared" si="0"/>
        <v>5.4</v>
      </c>
      <c r="G8" s="324">
        <f t="shared" si="1"/>
        <v>5.44</v>
      </c>
      <c r="H8" s="324">
        <f t="shared" si="2"/>
        <v>5.444</v>
      </c>
      <c r="I8" s="324">
        <f t="shared" si="3"/>
        <v>5.4443999999999999</v>
      </c>
    </row>
    <row r="9" spans="1:9">
      <c r="C9" s="322">
        <v>5.5555000000000003</v>
      </c>
      <c r="D9" s="322"/>
      <c r="E9" s="322"/>
      <c r="F9" s="325">
        <f t="shared" si="0"/>
        <v>5.5</v>
      </c>
      <c r="G9" s="325">
        <f t="shared" si="1"/>
        <v>5.55</v>
      </c>
      <c r="H9" s="325">
        <f t="shared" si="2"/>
        <v>5.5549999999999997</v>
      </c>
      <c r="I9" s="325">
        <f t="shared" si="3"/>
        <v>5.5555000000000003</v>
      </c>
    </row>
    <row r="10" spans="1:9">
      <c r="C10" s="319">
        <v>5.6665999999999999</v>
      </c>
      <c r="F10" s="324">
        <f t="shared" si="0"/>
        <v>5.6</v>
      </c>
      <c r="G10" s="324">
        <f t="shared" si="1"/>
        <v>5.66</v>
      </c>
      <c r="H10" s="324">
        <f t="shared" si="2"/>
        <v>5.6660000000000004</v>
      </c>
      <c r="I10" s="324">
        <f t="shared" si="3"/>
        <v>5.6665999999999999</v>
      </c>
    </row>
    <row r="12" spans="1:9">
      <c r="C12" s="320" t="s">
        <v>1767</v>
      </c>
    </row>
    <row r="13" spans="1:9">
      <c r="C13" s="319">
        <v>5.1111000000000004</v>
      </c>
      <c r="F13" s="319">
        <f>ROUNDUP($C13,1)</f>
        <v>5.1999999999999993</v>
      </c>
      <c r="G13" s="319">
        <f>ROUNDUP($C13,2)</f>
        <v>5.12</v>
      </c>
      <c r="H13" s="319">
        <f>ROUNDUP($C13,3)</f>
        <v>5.1120000000000001</v>
      </c>
      <c r="I13" s="319">
        <f>ROUNDUP($C13,4)</f>
        <v>5.1111000000000004</v>
      </c>
    </row>
    <row r="14" spans="1:9">
      <c r="C14" s="319">
        <v>5.2222</v>
      </c>
      <c r="F14" s="319">
        <f t="shared" ref="F14:F18" si="4">ROUNDUP($C14,1)</f>
        <v>5.3</v>
      </c>
      <c r="G14" s="319">
        <f t="shared" ref="G14:G18" si="5">ROUNDUP($C14,2)</f>
        <v>5.2299999999999995</v>
      </c>
      <c r="H14" s="319">
        <f t="shared" ref="H14:H18" si="6">ROUNDUP($C14,3)</f>
        <v>5.2230000000000008</v>
      </c>
      <c r="I14" s="319">
        <f t="shared" ref="I14:I18" si="7">ROUNDUP($C14,4)</f>
        <v>5.2222</v>
      </c>
    </row>
    <row r="15" spans="1:9">
      <c r="C15" s="319">
        <v>5.3333000000000004</v>
      </c>
      <c r="F15" s="319">
        <f t="shared" si="4"/>
        <v>5.3999999999999995</v>
      </c>
      <c r="G15" s="319">
        <f t="shared" si="5"/>
        <v>5.34</v>
      </c>
      <c r="H15" s="319">
        <f t="shared" si="6"/>
        <v>5.3340000000000005</v>
      </c>
      <c r="I15" s="319">
        <f t="shared" si="7"/>
        <v>5.3333000000000004</v>
      </c>
    </row>
    <row r="16" spans="1:9">
      <c r="C16" s="319">
        <v>5.4443999999999999</v>
      </c>
      <c r="F16" s="319">
        <f t="shared" si="4"/>
        <v>5.5</v>
      </c>
      <c r="G16" s="319">
        <f t="shared" si="5"/>
        <v>5.45</v>
      </c>
      <c r="H16" s="319">
        <f t="shared" si="6"/>
        <v>5.4450000000000003</v>
      </c>
      <c r="I16" s="319">
        <f t="shared" si="7"/>
        <v>5.4443999999999999</v>
      </c>
    </row>
    <row r="17" spans="3:9">
      <c r="C17" s="322">
        <v>5.5555000000000003</v>
      </c>
      <c r="D17" s="322"/>
      <c r="E17" s="322"/>
      <c r="F17" s="322">
        <f t="shared" si="4"/>
        <v>5.6</v>
      </c>
      <c r="G17" s="322">
        <f t="shared" si="5"/>
        <v>5.56</v>
      </c>
      <c r="H17" s="322">
        <f t="shared" si="6"/>
        <v>5.556</v>
      </c>
      <c r="I17" s="322">
        <f t="shared" si="7"/>
        <v>5.5555000000000003</v>
      </c>
    </row>
    <row r="18" spans="3:9">
      <c r="C18" s="319">
        <v>5.6665999999999999</v>
      </c>
      <c r="F18" s="319">
        <f t="shared" si="4"/>
        <v>5.6999999999999993</v>
      </c>
      <c r="G18" s="319">
        <f t="shared" si="5"/>
        <v>5.67</v>
      </c>
      <c r="H18" s="319">
        <f t="shared" si="6"/>
        <v>5.6670000000000007</v>
      </c>
      <c r="I18" s="319">
        <f t="shared" si="7"/>
        <v>5.6665999999999999</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I18"/>
  <sheetViews>
    <sheetView showGridLines="0" workbookViewId="0">
      <selection activeCell="F4" sqref="F4"/>
    </sheetView>
  </sheetViews>
  <sheetFormatPr defaultRowHeight="15.75"/>
  <cols>
    <col min="1" max="5" width="9.140625" style="319"/>
    <col min="6" max="6" width="10.85546875" style="319" customWidth="1"/>
    <col min="7" max="16384" width="9.140625" style="319"/>
  </cols>
  <sheetData>
    <row r="1" spans="1:9" ht="31.5">
      <c r="A1" s="318" t="s">
        <v>1769</v>
      </c>
      <c r="B1" s="210"/>
      <c r="C1" s="211"/>
      <c r="D1" s="211"/>
      <c r="E1" s="639" t="s">
        <v>2056</v>
      </c>
      <c r="F1" s="211"/>
      <c r="G1" s="211"/>
    </row>
    <row r="4" spans="1:9">
      <c r="C4" s="320" t="s">
        <v>1768</v>
      </c>
    </row>
    <row r="5" spans="1:9">
      <c r="C5" s="319">
        <v>5.1111000000000004</v>
      </c>
      <c r="F5" s="321">
        <f t="shared" ref="F5:F10" si="0">ROUNDDOWN($C5,1)</f>
        <v>5.0999999999999996</v>
      </c>
      <c r="G5" s="321">
        <f t="shared" ref="G5:G10" si="1">ROUNDDOWN($C5,2)</f>
        <v>5.1100000000000003</v>
      </c>
      <c r="H5" s="321">
        <f t="shared" ref="H5:H10" si="2">ROUNDDOWN($C5,3)</f>
        <v>5.1109999999999998</v>
      </c>
      <c r="I5" s="321">
        <f t="shared" ref="I5:I10" si="3">ROUNDDOWN($C5,4)</f>
        <v>5.1111000000000004</v>
      </c>
    </row>
    <row r="6" spans="1:9">
      <c r="C6" s="319">
        <v>5.2222</v>
      </c>
      <c r="F6" s="321">
        <f t="shared" si="0"/>
        <v>5.2</v>
      </c>
      <c r="G6" s="321">
        <f t="shared" si="1"/>
        <v>5.22</v>
      </c>
      <c r="H6" s="321">
        <f t="shared" si="2"/>
        <v>5.2220000000000004</v>
      </c>
      <c r="I6" s="321">
        <f t="shared" si="3"/>
        <v>5.2222</v>
      </c>
    </row>
    <row r="7" spans="1:9">
      <c r="C7" s="319">
        <v>5.3333000000000004</v>
      </c>
      <c r="F7" s="321">
        <f t="shared" si="0"/>
        <v>5.3</v>
      </c>
      <c r="G7" s="321">
        <f t="shared" si="1"/>
        <v>5.33</v>
      </c>
      <c r="H7" s="321">
        <f t="shared" si="2"/>
        <v>5.3330000000000002</v>
      </c>
      <c r="I7" s="321">
        <f t="shared" si="3"/>
        <v>5.3333000000000004</v>
      </c>
    </row>
    <row r="8" spans="1:9">
      <c r="C8" s="319">
        <v>5.4443999999999999</v>
      </c>
      <c r="F8" s="321">
        <f t="shared" si="0"/>
        <v>5.4</v>
      </c>
      <c r="G8" s="321">
        <f t="shared" si="1"/>
        <v>5.44</v>
      </c>
      <c r="H8" s="321">
        <f t="shared" si="2"/>
        <v>5.444</v>
      </c>
      <c r="I8" s="321">
        <f t="shared" si="3"/>
        <v>5.4443999999999999</v>
      </c>
    </row>
    <row r="9" spans="1:9">
      <c r="C9" s="322">
        <v>5.5555000000000003</v>
      </c>
      <c r="D9" s="322"/>
      <c r="E9" s="322"/>
      <c r="F9" s="323">
        <f t="shared" si="0"/>
        <v>5.5</v>
      </c>
      <c r="G9" s="323">
        <f t="shared" si="1"/>
        <v>5.55</v>
      </c>
      <c r="H9" s="323">
        <f t="shared" si="2"/>
        <v>5.5549999999999997</v>
      </c>
      <c r="I9" s="323">
        <f t="shared" si="3"/>
        <v>5.5555000000000003</v>
      </c>
    </row>
    <row r="10" spans="1:9">
      <c r="C10" s="319">
        <v>5.6665999999999999</v>
      </c>
      <c r="F10" s="321">
        <f t="shared" si="0"/>
        <v>5.6</v>
      </c>
      <c r="G10" s="321">
        <f t="shared" si="1"/>
        <v>5.66</v>
      </c>
      <c r="H10" s="321">
        <f t="shared" si="2"/>
        <v>5.6660000000000004</v>
      </c>
      <c r="I10" s="321">
        <f t="shared" si="3"/>
        <v>5.6665999999999999</v>
      </c>
    </row>
    <row r="12" spans="1:9">
      <c r="C12" s="320" t="s">
        <v>1767</v>
      </c>
    </row>
    <row r="13" spans="1:9">
      <c r="C13" s="319">
        <v>5.1111000000000004</v>
      </c>
      <c r="F13" s="324">
        <f>ROUNDUP($C13,1)</f>
        <v>5.1999999999999993</v>
      </c>
      <c r="G13" s="324">
        <f>ROUNDUP($C13,2)</f>
        <v>5.12</v>
      </c>
      <c r="H13" s="324">
        <f>ROUNDUP($C13,3)</f>
        <v>5.1120000000000001</v>
      </c>
      <c r="I13" s="324">
        <f>ROUNDUP($C13,4)</f>
        <v>5.1111000000000004</v>
      </c>
    </row>
    <row r="14" spans="1:9">
      <c r="C14" s="319">
        <v>5.2222</v>
      </c>
      <c r="F14" s="324">
        <f t="shared" ref="F14:F18" si="4">ROUNDUP($C14,1)</f>
        <v>5.3</v>
      </c>
      <c r="G14" s="324">
        <f t="shared" ref="G14:G18" si="5">ROUNDUP($C14,2)</f>
        <v>5.2299999999999995</v>
      </c>
      <c r="H14" s="324">
        <f t="shared" ref="H14:H18" si="6">ROUNDUP($C14,3)</f>
        <v>5.2230000000000008</v>
      </c>
      <c r="I14" s="324">
        <f t="shared" ref="I14:I18" si="7">ROUNDUP($C14,4)</f>
        <v>5.2222</v>
      </c>
    </row>
    <row r="15" spans="1:9">
      <c r="C15" s="319">
        <v>5.3333000000000004</v>
      </c>
      <c r="F15" s="324">
        <f t="shared" si="4"/>
        <v>5.3999999999999995</v>
      </c>
      <c r="G15" s="324">
        <f t="shared" si="5"/>
        <v>5.34</v>
      </c>
      <c r="H15" s="324">
        <f t="shared" si="6"/>
        <v>5.3340000000000005</v>
      </c>
      <c r="I15" s="324">
        <f t="shared" si="7"/>
        <v>5.3333000000000004</v>
      </c>
    </row>
    <row r="16" spans="1:9">
      <c r="C16" s="319">
        <v>5.4443999999999999</v>
      </c>
      <c r="F16" s="324">
        <f t="shared" si="4"/>
        <v>5.5</v>
      </c>
      <c r="G16" s="324">
        <f t="shared" si="5"/>
        <v>5.45</v>
      </c>
      <c r="H16" s="324">
        <f t="shared" si="6"/>
        <v>5.4450000000000003</v>
      </c>
      <c r="I16" s="324">
        <f t="shared" si="7"/>
        <v>5.4443999999999999</v>
      </c>
    </row>
    <row r="17" spans="3:9">
      <c r="C17" s="322">
        <v>5.5555000000000003</v>
      </c>
      <c r="D17" s="322"/>
      <c r="E17" s="322"/>
      <c r="F17" s="325">
        <f t="shared" si="4"/>
        <v>5.6</v>
      </c>
      <c r="G17" s="325">
        <f t="shared" si="5"/>
        <v>5.56</v>
      </c>
      <c r="H17" s="325">
        <f t="shared" si="6"/>
        <v>5.556</v>
      </c>
      <c r="I17" s="325">
        <f t="shared" si="7"/>
        <v>5.5555000000000003</v>
      </c>
    </row>
    <row r="18" spans="3:9">
      <c r="C18" s="319">
        <v>5.6665999999999999</v>
      </c>
      <c r="F18" s="324">
        <f t="shared" si="4"/>
        <v>5.6999999999999993</v>
      </c>
      <c r="G18" s="324">
        <f t="shared" si="5"/>
        <v>5.67</v>
      </c>
      <c r="H18" s="324">
        <f t="shared" si="6"/>
        <v>5.6670000000000007</v>
      </c>
      <c r="I18" s="324">
        <f t="shared" si="7"/>
        <v>5.6665999999999999</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dimension ref="A1:J203"/>
  <sheetViews>
    <sheetView showGridLines="0" workbookViewId="0">
      <selection activeCell="F4" sqref="F4"/>
    </sheetView>
  </sheetViews>
  <sheetFormatPr defaultRowHeight="26.25"/>
  <cols>
    <col min="1" max="1" width="3.42578125" style="3" customWidth="1"/>
    <col min="2" max="2" width="10.7109375" style="114" bestFit="1" customWidth="1"/>
    <col min="3" max="3" width="9.42578125" style="3" bestFit="1" customWidth="1"/>
    <col min="4" max="4" width="11.7109375" style="3" bestFit="1" customWidth="1"/>
    <col min="5" max="5" width="12.140625" style="3" bestFit="1" customWidth="1"/>
    <col min="6" max="7" width="13.85546875" style="3" bestFit="1" customWidth="1"/>
    <col min="8" max="8" width="12.140625" style="3" bestFit="1" customWidth="1"/>
    <col min="9" max="9" width="10.85546875" style="3" bestFit="1" customWidth="1"/>
    <col min="10" max="10" width="8.140625" style="3" bestFit="1" customWidth="1"/>
    <col min="11" max="26" width="10.28515625" style="3" customWidth="1"/>
    <col min="27" max="29" width="10" style="3" customWidth="1"/>
    <col min="30" max="16384" width="9.140625" style="3"/>
  </cols>
  <sheetData>
    <row r="1" spans="1:10">
      <c r="A1" s="288" t="s">
        <v>1798</v>
      </c>
      <c r="E1" s="637" t="s">
        <v>2056</v>
      </c>
      <c r="I1" s="114"/>
    </row>
    <row r="2" spans="1:10" ht="30">
      <c r="A2" s="115"/>
      <c r="E2" s="114"/>
      <c r="I2" s="114"/>
    </row>
    <row r="3" spans="1:10">
      <c r="A3" s="19"/>
      <c r="B3" s="118"/>
      <c r="C3" s="177" t="s">
        <v>1800</v>
      </c>
      <c r="F3" s="297">
        <f t="shared" ref="F3:J3" si="0">MAX(F9:F76)</f>
        <v>1447185.6</v>
      </c>
      <c r="G3" s="297">
        <f t="shared" si="0"/>
        <v>1443556</v>
      </c>
      <c r="H3" s="297">
        <f>MAX(H9:H76)</f>
        <v>548108</v>
      </c>
      <c r="I3" s="298">
        <f t="shared" si="0"/>
        <v>0.754</v>
      </c>
      <c r="J3" s="297">
        <f t="shared" si="0"/>
        <v>13</v>
      </c>
    </row>
    <row r="5" spans="1:10" ht="18">
      <c r="B5" s="119" t="s">
        <v>1772</v>
      </c>
      <c r="C5" s="120"/>
      <c r="D5" s="120"/>
      <c r="E5" s="120"/>
      <c r="F5" s="121"/>
      <c r="G5" s="121"/>
      <c r="H5" s="121"/>
      <c r="I5" s="120"/>
      <c r="J5" s="122"/>
    </row>
    <row r="6" spans="1:10" ht="18">
      <c r="B6" s="276" t="s">
        <v>1799</v>
      </c>
      <c r="C6" s="124"/>
      <c r="D6" s="124"/>
      <c r="E6" s="124"/>
      <c r="F6" s="125"/>
      <c r="G6" s="125"/>
      <c r="H6" s="125"/>
      <c r="I6" s="124"/>
      <c r="J6" s="126"/>
    </row>
    <row r="7" spans="1:10" ht="18" hidden="1">
      <c r="B7" s="127"/>
      <c r="C7" s="128"/>
      <c r="D7" s="128"/>
      <c r="E7" s="128"/>
      <c r="F7" s="129"/>
      <c r="G7" s="129"/>
      <c r="H7" s="129"/>
      <c r="I7" s="128"/>
    </row>
    <row r="8" spans="1:10" s="142" customFormat="1" ht="39" customHeight="1" thickBot="1">
      <c r="B8" s="300" t="s">
        <v>1770</v>
      </c>
      <c r="C8" s="300" t="s">
        <v>176</v>
      </c>
      <c r="D8" s="300" t="s">
        <v>175</v>
      </c>
      <c r="E8" s="300" t="s">
        <v>264</v>
      </c>
      <c r="F8" s="301" t="s">
        <v>1774</v>
      </c>
      <c r="G8" s="301" t="s">
        <v>1775</v>
      </c>
      <c r="H8" s="302" t="s">
        <v>1776</v>
      </c>
      <c r="I8" s="303" t="s">
        <v>1777</v>
      </c>
      <c r="J8" s="303" t="s">
        <v>1778</v>
      </c>
    </row>
    <row r="9" spans="1:10" s="142" customFormat="1" ht="18" customHeight="1">
      <c r="B9" s="165" t="s">
        <v>1771</v>
      </c>
      <c r="C9" s="165" t="s">
        <v>1779</v>
      </c>
      <c r="D9" s="165" t="s">
        <v>1780</v>
      </c>
      <c r="E9" s="165" t="s">
        <v>1782</v>
      </c>
      <c r="F9" s="304">
        <v>154275.84</v>
      </c>
      <c r="G9" s="304">
        <v>143476.5312</v>
      </c>
      <c r="H9" s="304">
        <f t="shared" ref="H9:H40" si="1">F9-G9</f>
        <v>10799.308799999999</v>
      </c>
      <c r="I9" s="305">
        <v>0.64300000000000002</v>
      </c>
      <c r="J9" s="306">
        <v>9</v>
      </c>
    </row>
    <row r="10" spans="1:10" s="142" customFormat="1" ht="18" customHeight="1">
      <c r="B10" s="165" t="s">
        <v>1771</v>
      </c>
      <c r="C10" s="165" t="s">
        <v>1779</v>
      </c>
      <c r="D10" s="165" t="s">
        <v>1784</v>
      </c>
      <c r="E10" s="165" t="s">
        <v>1782</v>
      </c>
      <c r="F10" s="304">
        <v>57024</v>
      </c>
      <c r="G10" s="304">
        <v>54743.040000000001</v>
      </c>
      <c r="H10" s="304">
        <f t="shared" si="1"/>
        <v>2280.9599999999991</v>
      </c>
      <c r="I10" s="305">
        <v>0.59199999999999997</v>
      </c>
      <c r="J10" s="306">
        <v>8</v>
      </c>
    </row>
    <row r="11" spans="1:10" s="142" customFormat="1" ht="18" customHeight="1">
      <c r="B11" s="165" t="s">
        <v>1771</v>
      </c>
      <c r="C11" s="165" t="s">
        <v>1779</v>
      </c>
      <c r="D11" s="165" t="s">
        <v>1784</v>
      </c>
      <c r="E11" s="165" t="s">
        <v>1782</v>
      </c>
      <c r="F11" s="304">
        <v>69465.600000000006</v>
      </c>
      <c r="G11" s="304">
        <v>66686.975999999995</v>
      </c>
      <c r="H11" s="304">
        <f t="shared" si="1"/>
        <v>2778.6240000000107</v>
      </c>
      <c r="I11" s="305">
        <v>0.41199999999999998</v>
      </c>
      <c r="J11" s="306">
        <v>9</v>
      </c>
    </row>
    <row r="12" spans="1:10" s="142" customFormat="1" ht="18" customHeight="1">
      <c r="B12" s="165" t="s">
        <v>1771</v>
      </c>
      <c r="C12" s="165" t="s">
        <v>1779</v>
      </c>
      <c r="D12" s="165" t="s">
        <v>1780</v>
      </c>
      <c r="E12" s="165" t="s">
        <v>1782</v>
      </c>
      <c r="F12" s="304">
        <v>91463.039999999994</v>
      </c>
      <c r="G12" s="304">
        <v>72255.801599999992</v>
      </c>
      <c r="H12" s="304">
        <f t="shared" si="1"/>
        <v>19207.238400000002</v>
      </c>
      <c r="I12" s="305">
        <v>0.35599999999999998</v>
      </c>
      <c r="J12" s="306">
        <v>8</v>
      </c>
    </row>
    <row r="13" spans="1:10" s="142" customFormat="1" ht="18" customHeight="1">
      <c r="B13" s="165" t="s">
        <v>1771</v>
      </c>
      <c r="C13" s="165" t="s">
        <v>1779</v>
      </c>
      <c r="D13" s="165" t="s">
        <v>1783</v>
      </c>
      <c r="E13" s="165" t="s">
        <v>1782</v>
      </c>
      <c r="F13" s="304">
        <v>94936.320000000007</v>
      </c>
      <c r="G13" s="304">
        <v>77847.782399999996</v>
      </c>
      <c r="H13" s="304">
        <f t="shared" si="1"/>
        <v>17088.537600000011</v>
      </c>
      <c r="I13" s="305">
        <v>0.52900000000000003</v>
      </c>
      <c r="J13" s="306">
        <v>9</v>
      </c>
    </row>
    <row r="14" spans="1:10" s="142" customFormat="1" ht="18" customHeight="1">
      <c r="B14" s="165" t="s">
        <v>1771</v>
      </c>
      <c r="C14" s="165" t="s">
        <v>1779</v>
      </c>
      <c r="D14" s="165" t="s">
        <v>1780</v>
      </c>
      <c r="E14" s="165" t="s">
        <v>1781</v>
      </c>
      <c r="F14" s="304">
        <v>356040</v>
      </c>
      <c r="G14" s="304">
        <v>259909.2</v>
      </c>
      <c r="H14" s="304">
        <f t="shared" si="1"/>
        <v>96130.799999999988</v>
      </c>
      <c r="I14" s="305">
        <v>0.255</v>
      </c>
      <c r="J14" s="306">
        <v>2</v>
      </c>
    </row>
    <row r="15" spans="1:10" s="142" customFormat="1" ht="18" customHeight="1">
      <c r="B15" s="165" t="s">
        <v>1771</v>
      </c>
      <c r="C15" s="165" t="s">
        <v>1779</v>
      </c>
      <c r="D15" s="165" t="s">
        <v>1780</v>
      </c>
      <c r="E15" s="165" t="s">
        <v>1781</v>
      </c>
      <c r="F15" s="304">
        <v>113923.584</v>
      </c>
      <c r="G15" s="304">
        <v>93417.338879999996</v>
      </c>
      <c r="H15" s="304">
        <f t="shared" si="1"/>
        <v>20506.245120000007</v>
      </c>
      <c r="I15" s="305">
        <v>0.255</v>
      </c>
      <c r="J15" s="306">
        <v>6</v>
      </c>
    </row>
    <row r="16" spans="1:10" s="142" customFormat="1" ht="18" customHeight="1">
      <c r="B16" s="165" t="s">
        <v>1771</v>
      </c>
      <c r="C16" s="165" t="s">
        <v>1779</v>
      </c>
      <c r="D16" s="165" t="s">
        <v>1783</v>
      </c>
      <c r="E16" s="165" t="s">
        <v>1781</v>
      </c>
      <c r="F16" s="304">
        <v>90305.279999999999</v>
      </c>
      <c r="G16" s="304">
        <v>70438.118399999992</v>
      </c>
      <c r="H16" s="304">
        <f t="shared" si="1"/>
        <v>19867.161600000007</v>
      </c>
      <c r="I16" s="305">
        <v>0.255</v>
      </c>
      <c r="J16" s="306">
        <v>3</v>
      </c>
    </row>
    <row r="17" spans="2:10" s="142" customFormat="1" ht="18" customHeight="1">
      <c r="B17" s="165" t="s">
        <v>1771</v>
      </c>
      <c r="C17" s="165" t="s">
        <v>1779</v>
      </c>
      <c r="D17" s="165" t="s">
        <v>1780</v>
      </c>
      <c r="E17" s="165" t="s">
        <v>1781</v>
      </c>
      <c r="F17" s="304">
        <v>47520</v>
      </c>
      <c r="G17" s="304">
        <v>45619.199999999997</v>
      </c>
      <c r="H17" s="304">
        <f t="shared" si="1"/>
        <v>1900.8000000000029</v>
      </c>
      <c r="I17" s="305">
        <v>0.247</v>
      </c>
      <c r="J17" s="306">
        <v>6</v>
      </c>
    </row>
    <row r="18" spans="2:10" s="142" customFormat="1" ht="18" customHeight="1">
      <c r="B18" s="165" t="s">
        <v>1771</v>
      </c>
      <c r="C18" s="165" t="s">
        <v>1779</v>
      </c>
      <c r="D18" s="165" t="s">
        <v>1784</v>
      </c>
      <c r="E18" s="165" t="s">
        <v>1781</v>
      </c>
      <c r="F18" s="304">
        <v>261004.79999999999</v>
      </c>
      <c r="G18" s="304">
        <v>221854.07999999999</v>
      </c>
      <c r="H18" s="304">
        <f t="shared" si="1"/>
        <v>39150.720000000001</v>
      </c>
      <c r="I18" s="305">
        <v>0.23300000000000001</v>
      </c>
      <c r="J18" s="306">
        <v>6</v>
      </c>
    </row>
    <row r="19" spans="2:10" s="142" customFormat="1" ht="18" customHeight="1">
      <c r="B19" s="165" t="s">
        <v>1771</v>
      </c>
      <c r="C19" s="165" t="s">
        <v>1779</v>
      </c>
      <c r="D19" s="165" t="s">
        <v>1784</v>
      </c>
      <c r="E19" s="165" t="s">
        <v>1781</v>
      </c>
      <c r="F19" s="304">
        <v>92620.800000000003</v>
      </c>
      <c r="G19" s="304">
        <v>82432.511999999988</v>
      </c>
      <c r="H19" s="304">
        <f t="shared" si="1"/>
        <v>10188.288000000015</v>
      </c>
      <c r="I19" s="305">
        <v>0.187</v>
      </c>
      <c r="J19" s="306">
        <v>3</v>
      </c>
    </row>
    <row r="20" spans="2:10" s="142" customFormat="1" ht="18" customHeight="1">
      <c r="B20" s="165" t="s">
        <v>1771</v>
      </c>
      <c r="C20" s="165" t="s">
        <v>1779</v>
      </c>
      <c r="D20" s="165" t="s">
        <v>1783</v>
      </c>
      <c r="E20" s="165" t="s">
        <v>1782</v>
      </c>
      <c r="F20" s="304">
        <v>394275.84000000003</v>
      </c>
      <c r="G20" s="304">
        <v>366676.53120000003</v>
      </c>
      <c r="H20" s="304">
        <f t="shared" si="1"/>
        <v>27599.308799999999</v>
      </c>
      <c r="I20" s="305">
        <v>0.154</v>
      </c>
      <c r="J20" s="306">
        <v>0</v>
      </c>
    </row>
    <row r="21" spans="2:10" s="142" customFormat="1" ht="18" customHeight="1">
      <c r="B21" s="165" t="s">
        <v>1771</v>
      </c>
      <c r="C21" s="165" t="s">
        <v>1779</v>
      </c>
      <c r="D21" s="165" t="s">
        <v>1783</v>
      </c>
      <c r="E21" s="165" t="s">
        <v>1781</v>
      </c>
      <c r="F21" s="304">
        <v>116121.60000000001</v>
      </c>
      <c r="G21" s="304">
        <v>84768.767999999996</v>
      </c>
      <c r="H21" s="304">
        <f t="shared" si="1"/>
        <v>31352.832000000009</v>
      </c>
      <c r="I21" s="305">
        <v>0.13400000000000001</v>
      </c>
      <c r="J21" s="306">
        <v>3</v>
      </c>
    </row>
    <row r="22" spans="2:10" s="142" customFormat="1" ht="18" customHeight="1">
      <c r="B22" s="165" t="s">
        <v>1785</v>
      </c>
      <c r="C22" s="165" t="s">
        <v>1788</v>
      </c>
      <c r="D22" s="165" t="s">
        <v>1792</v>
      </c>
      <c r="E22" s="165" t="s">
        <v>1782</v>
      </c>
      <c r="F22" s="304">
        <v>91224</v>
      </c>
      <c r="G22" s="304">
        <v>66593.52</v>
      </c>
      <c r="H22" s="304">
        <f t="shared" si="1"/>
        <v>24630.479999999996</v>
      </c>
      <c r="I22" s="305">
        <v>0.65</v>
      </c>
      <c r="J22" s="306">
        <v>6</v>
      </c>
    </row>
    <row r="23" spans="2:10" s="142" customFormat="1" ht="18" customHeight="1">
      <c r="B23" s="165" t="s">
        <v>1785</v>
      </c>
      <c r="C23" s="165" t="s">
        <v>1786</v>
      </c>
      <c r="D23" s="165" t="s">
        <v>1791</v>
      </c>
      <c r="E23" s="165" t="s">
        <v>1781</v>
      </c>
      <c r="F23" s="304">
        <v>76032</v>
      </c>
      <c r="G23" s="304">
        <v>75271.679999999993</v>
      </c>
      <c r="H23" s="304">
        <f t="shared" si="1"/>
        <v>760.32000000000698</v>
      </c>
      <c r="I23" s="305">
        <v>0.623</v>
      </c>
      <c r="J23" s="306">
        <v>0</v>
      </c>
    </row>
    <row r="24" spans="2:10" s="142" customFormat="1" ht="18" customHeight="1">
      <c r="B24" s="165" t="s">
        <v>1785</v>
      </c>
      <c r="C24" s="165" t="s">
        <v>1788</v>
      </c>
      <c r="D24" s="165" t="s">
        <v>1789</v>
      </c>
      <c r="E24" s="165" t="s">
        <v>1782</v>
      </c>
      <c r="F24" s="304">
        <v>121197.6</v>
      </c>
      <c r="G24" s="304">
        <v>112713.76800000001</v>
      </c>
      <c r="H24" s="304">
        <f t="shared" si="1"/>
        <v>8483.8319999999949</v>
      </c>
      <c r="I24" s="305">
        <v>0.45</v>
      </c>
      <c r="J24" s="306">
        <v>13</v>
      </c>
    </row>
    <row r="25" spans="2:10" s="142" customFormat="1" ht="18" customHeight="1">
      <c r="B25" s="165" t="s">
        <v>1785</v>
      </c>
      <c r="C25" s="165" t="s">
        <v>1786</v>
      </c>
      <c r="D25" s="165" t="s">
        <v>1787</v>
      </c>
      <c r="E25" s="165" t="s">
        <v>1782</v>
      </c>
      <c r="F25" s="304">
        <v>181988</v>
      </c>
      <c r="G25" s="304">
        <v>205646.44</v>
      </c>
      <c r="H25" s="304">
        <f t="shared" si="1"/>
        <v>-23658.440000000002</v>
      </c>
      <c r="I25" s="305">
        <v>0.432</v>
      </c>
      <c r="J25" s="306">
        <v>2</v>
      </c>
    </row>
    <row r="26" spans="2:10" s="142" customFormat="1" ht="18" customHeight="1">
      <c r="B26" s="165" t="s">
        <v>1785</v>
      </c>
      <c r="C26" s="165" t="s">
        <v>1788</v>
      </c>
      <c r="D26" s="165" t="s">
        <v>1789</v>
      </c>
      <c r="E26" s="165" t="s">
        <v>1782</v>
      </c>
      <c r="F26" s="304">
        <v>110772</v>
      </c>
      <c r="G26" s="304">
        <v>94156.2</v>
      </c>
      <c r="H26" s="304">
        <f t="shared" si="1"/>
        <v>16615.800000000003</v>
      </c>
      <c r="I26" s="305">
        <v>0.39800000000000002</v>
      </c>
      <c r="J26" s="306">
        <v>9</v>
      </c>
    </row>
    <row r="27" spans="2:10" s="142" customFormat="1" ht="18" customHeight="1">
      <c r="B27" s="165" t="s">
        <v>1785</v>
      </c>
      <c r="C27" s="165" t="s">
        <v>1786</v>
      </c>
      <c r="D27" s="165" t="s">
        <v>1790</v>
      </c>
      <c r="E27" s="165" t="s">
        <v>1781</v>
      </c>
      <c r="F27" s="304">
        <v>128563.2</v>
      </c>
      <c r="G27" s="304">
        <v>119563.776</v>
      </c>
      <c r="H27" s="304">
        <f t="shared" si="1"/>
        <v>8999.4239999999991</v>
      </c>
      <c r="I27" s="305">
        <v>0.39800000000000002</v>
      </c>
      <c r="J27" s="306">
        <v>8</v>
      </c>
    </row>
    <row r="28" spans="2:10" s="142" customFormat="1" ht="18" customHeight="1">
      <c r="B28" s="165" t="s">
        <v>1785</v>
      </c>
      <c r="C28" s="165" t="s">
        <v>1786</v>
      </c>
      <c r="D28" s="165" t="s">
        <v>1787</v>
      </c>
      <c r="E28" s="165" t="s">
        <v>1781</v>
      </c>
      <c r="F28" s="304">
        <v>96768</v>
      </c>
      <c r="G28" s="304">
        <v>70640.639999999999</v>
      </c>
      <c r="H28" s="304">
        <f t="shared" si="1"/>
        <v>26127.360000000001</v>
      </c>
      <c r="I28" s="305">
        <v>0.34499999999999997</v>
      </c>
      <c r="J28" s="306">
        <v>2</v>
      </c>
    </row>
    <row r="29" spans="2:10" s="142" customFormat="1" ht="18" customHeight="1">
      <c r="B29" s="165" t="s">
        <v>1785</v>
      </c>
      <c r="C29" s="165" t="s">
        <v>1788</v>
      </c>
      <c r="D29" s="165" t="s">
        <v>1792</v>
      </c>
      <c r="E29" s="165" t="s">
        <v>1782</v>
      </c>
      <c r="F29" s="304">
        <v>110772</v>
      </c>
      <c r="G29" s="304">
        <v>125172.36</v>
      </c>
      <c r="H29" s="304">
        <f t="shared" si="1"/>
        <v>-14400.36</v>
      </c>
      <c r="I29" s="305">
        <v>0.498</v>
      </c>
      <c r="J29" s="306">
        <v>1</v>
      </c>
    </row>
    <row r="30" spans="2:10" s="142" customFormat="1" ht="18" customHeight="1">
      <c r="B30" s="165" t="s">
        <v>1785</v>
      </c>
      <c r="C30" s="165" t="s">
        <v>1786</v>
      </c>
      <c r="D30" s="165" t="s">
        <v>1787</v>
      </c>
      <c r="E30" s="165" t="s">
        <v>1781</v>
      </c>
      <c r="F30" s="304">
        <v>432900</v>
      </c>
      <c r="G30" s="304">
        <v>367965</v>
      </c>
      <c r="H30" s="304">
        <f t="shared" si="1"/>
        <v>64935</v>
      </c>
      <c r="I30" s="305">
        <v>0.247</v>
      </c>
      <c r="J30" s="306">
        <v>2</v>
      </c>
    </row>
    <row r="31" spans="2:10" s="142" customFormat="1" ht="18" customHeight="1">
      <c r="B31" s="165" t="s">
        <v>1785</v>
      </c>
      <c r="C31" s="165" t="s">
        <v>1788</v>
      </c>
      <c r="D31" s="165" t="s">
        <v>1792</v>
      </c>
      <c r="E31" s="165" t="s">
        <v>1782</v>
      </c>
      <c r="F31" s="304">
        <v>91224</v>
      </c>
      <c r="G31" s="304">
        <v>127713.60000000001</v>
      </c>
      <c r="H31" s="304">
        <f t="shared" si="1"/>
        <v>-36489.600000000006</v>
      </c>
      <c r="I31" s="305">
        <v>0.247</v>
      </c>
      <c r="J31" s="306">
        <v>4</v>
      </c>
    </row>
    <row r="32" spans="2:10" s="142" customFormat="1" ht="18" customHeight="1">
      <c r="B32" s="165" t="s">
        <v>1785</v>
      </c>
      <c r="C32" s="165" t="s">
        <v>1788</v>
      </c>
      <c r="D32" s="165" t="s">
        <v>1792</v>
      </c>
      <c r="E32" s="165" t="s">
        <v>1781</v>
      </c>
      <c r="F32" s="304">
        <v>217504</v>
      </c>
      <c r="G32" s="304">
        <v>184878.4</v>
      </c>
      <c r="H32" s="304">
        <f t="shared" si="1"/>
        <v>32625.600000000006</v>
      </c>
      <c r="I32" s="305">
        <v>0.23300000000000001</v>
      </c>
      <c r="J32" s="306">
        <v>9</v>
      </c>
    </row>
    <row r="33" spans="2:10" s="142" customFormat="1" ht="18" customHeight="1">
      <c r="B33" s="165" t="s">
        <v>1785</v>
      </c>
      <c r="C33" s="165" t="s">
        <v>1786</v>
      </c>
      <c r="D33" s="165" t="s">
        <v>1790</v>
      </c>
      <c r="E33" s="165" t="s">
        <v>1781</v>
      </c>
      <c r="F33" s="304">
        <v>128563.2</v>
      </c>
      <c r="G33" s="304">
        <v>119563.776</v>
      </c>
      <c r="H33" s="304">
        <f t="shared" si="1"/>
        <v>8999.4239999999991</v>
      </c>
      <c r="I33" s="305">
        <v>0.23300000000000001</v>
      </c>
      <c r="J33" s="306">
        <v>1</v>
      </c>
    </row>
    <row r="34" spans="2:10" s="142" customFormat="1" ht="18" customHeight="1">
      <c r="B34" s="165" t="s">
        <v>1785</v>
      </c>
      <c r="C34" s="165" t="s">
        <v>1788</v>
      </c>
      <c r="D34" s="165" t="s">
        <v>1789</v>
      </c>
      <c r="E34" s="165" t="s">
        <v>1782</v>
      </c>
      <c r="F34" s="304">
        <v>121197.6</v>
      </c>
      <c r="G34" s="304">
        <v>112713.76800000001</v>
      </c>
      <c r="H34" s="304">
        <f t="shared" si="1"/>
        <v>8483.8319999999949</v>
      </c>
      <c r="I34" s="305">
        <v>0.23300000000000001</v>
      </c>
      <c r="J34" s="306">
        <v>0</v>
      </c>
    </row>
    <row r="35" spans="2:10" s="142" customFormat="1" ht="18" customHeight="1">
      <c r="B35" s="165" t="s">
        <v>1785</v>
      </c>
      <c r="C35" s="165" t="s">
        <v>1788</v>
      </c>
      <c r="D35" s="165" t="s">
        <v>1792</v>
      </c>
      <c r="E35" s="165" t="s">
        <v>1782</v>
      </c>
      <c r="F35" s="304">
        <v>110772</v>
      </c>
      <c r="G35" s="304">
        <v>125172.36</v>
      </c>
      <c r="H35" s="304">
        <f t="shared" si="1"/>
        <v>-14400.36</v>
      </c>
      <c r="I35" s="305">
        <v>0.23300000000000001</v>
      </c>
      <c r="J35" s="306">
        <v>0</v>
      </c>
    </row>
    <row r="36" spans="2:10" s="142" customFormat="1" ht="18" customHeight="1">
      <c r="B36" s="165" t="s">
        <v>1785</v>
      </c>
      <c r="C36" s="165" t="s">
        <v>1788</v>
      </c>
      <c r="D36" s="165" t="s">
        <v>1792</v>
      </c>
      <c r="E36" s="165" t="s">
        <v>1781</v>
      </c>
      <c r="F36" s="304">
        <v>128563.2</v>
      </c>
      <c r="G36" s="304">
        <v>119563.776</v>
      </c>
      <c r="H36" s="304">
        <f t="shared" si="1"/>
        <v>8999.4239999999991</v>
      </c>
      <c r="I36" s="305">
        <v>0.154</v>
      </c>
      <c r="J36" s="306">
        <v>3</v>
      </c>
    </row>
    <row r="37" spans="2:10" s="142" customFormat="1" ht="18" customHeight="1">
      <c r="B37" s="165" t="s">
        <v>1785</v>
      </c>
      <c r="C37" s="165" t="s">
        <v>1786</v>
      </c>
      <c r="D37" s="165" t="s">
        <v>1787</v>
      </c>
      <c r="E37" s="165" t="s">
        <v>1782</v>
      </c>
      <c r="F37" s="304">
        <v>121197.6</v>
      </c>
      <c r="G37" s="304">
        <v>112713.76800000001</v>
      </c>
      <c r="H37" s="304">
        <f t="shared" si="1"/>
        <v>8483.8319999999949</v>
      </c>
      <c r="I37" s="305">
        <v>0.154</v>
      </c>
      <c r="J37" s="306">
        <v>4</v>
      </c>
    </row>
    <row r="38" spans="2:10" s="142" customFormat="1" ht="18" customHeight="1">
      <c r="B38" s="165" t="s">
        <v>1785</v>
      </c>
      <c r="C38" s="165" t="s">
        <v>1788</v>
      </c>
      <c r="D38" s="165" t="s">
        <v>1792</v>
      </c>
      <c r="E38" s="165" t="s">
        <v>1782</v>
      </c>
      <c r="F38" s="304">
        <v>71676</v>
      </c>
      <c r="G38" s="304">
        <v>70959.240000000005</v>
      </c>
      <c r="H38" s="304">
        <f t="shared" si="1"/>
        <v>716.75999999999476</v>
      </c>
      <c r="I38" s="305">
        <v>0.13400000000000001</v>
      </c>
      <c r="J38" s="306">
        <v>9</v>
      </c>
    </row>
    <row r="39" spans="2:10" s="142" customFormat="1" ht="18" customHeight="1">
      <c r="B39" s="165" t="s">
        <v>1793</v>
      </c>
      <c r="C39" s="165" t="s">
        <v>1779</v>
      </c>
      <c r="D39" s="165" t="s">
        <v>1780</v>
      </c>
      <c r="E39" s="165" t="s">
        <v>1794</v>
      </c>
      <c r="F39" s="304">
        <v>94936.320000000007</v>
      </c>
      <c r="G39" s="304">
        <v>77847.782399999996</v>
      </c>
      <c r="H39" s="304">
        <f t="shared" si="1"/>
        <v>17088.537600000011</v>
      </c>
      <c r="I39" s="305">
        <v>0.57599999999999996</v>
      </c>
      <c r="J39" s="306">
        <v>8</v>
      </c>
    </row>
    <row r="40" spans="2:10" s="142" customFormat="1" ht="18" customHeight="1">
      <c r="B40" s="165" t="s">
        <v>1793</v>
      </c>
      <c r="C40" s="165" t="s">
        <v>1779</v>
      </c>
      <c r="D40" s="165" t="s">
        <v>1783</v>
      </c>
      <c r="E40" s="165" t="s">
        <v>1794</v>
      </c>
      <c r="F40" s="304">
        <v>69465.600000000006</v>
      </c>
      <c r="G40" s="304">
        <v>66686.975999999995</v>
      </c>
      <c r="H40" s="304">
        <f t="shared" si="1"/>
        <v>2778.6240000000107</v>
      </c>
      <c r="I40" s="305">
        <v>0.57299999999999995</v>
      </c>
      <c r="J40" s="306">
        <v>8</v>
      </c>
    </row>
    <row r="41" spans="2:10" s="142" customFormat="1" ht="18" customHeight="1">
      <c r="B41" s="165" t="s">
        <v>1793</v>
      </c>
      <c r="C41" s="165" t="s">
        <v>1779</v>
      </c>
      <c r="D41" s="165" t="s">
        <v>1780</v>
      </c>
      <c r="E41" s="165" t="s">
        <v>1781</v>
      </c>
      <c r="F41" s="304">
        <v>519480</v>
      </c>
      <c r="G41" s="304">
        <v>1443556</v>
      </c>
      <c r="H41" s="304">
        <f t="shared" ref="H41:H72" si="2">F41-G41</f>
        <v>-924076</v>
      </c>
      <c r="I41" s="305">
        <v>0.39800000000000002</v>
      </c>
      <c r="J41" s="306">
        <v>6</v>
      </c>
    </row>
    <row r="42" spans="2:10" s="142" customFormat="1" ht="18" customHeight="1">
      <c r="B42" s="165" t="s">
        <v>1793</v>
      </c>
      <c r="C42" s="165" t="s">
        <v>1779</v>
      </c>
      <c r="D42" s="165" t="s">
        <v>1784</v>
      </c>
      <c r="E42" s="165" t="s">
        <v>1795</v>
      </c>
      <c r="F42" s="304">
        <v>113923.584</v>
      </c>
      <c r="G42" s="304">
        <v>93417.338879999996</v>
      </c>
      <c r="H42" s="304">
        <f t="shared" si="2"/>
        <v>20506.245120000007</v>
      </c>
      <c r="I42" s="305">
        <v>0.35599999999999998</v>
      </c>
      <c r="J42" s="306">
        <v>2</v>
      </c>
    </row>
    <row r="43" spans="2:10" s="142" customFormat="1" ht="18" customHeight="1">
      <c r="B43" s="165" t="s">
        <v>1793</v>
      </c>
      <c r="C43" s="165" t="s">
        <v>1779</v>
      </c>
      <c r="D43" s="165" t="s">
        <v>1783</v>
      </c>
      <c r="E43" s="165" t="s">
        <v>1795</v>
      </c>
      <c r="F43" s="304">
        <v>154275.84</v>
      </c>
      <c r="G43" s="304">
        <v>143476.5312</v>
      </c>
      <c r="H43" s="304">
        <f t="shared" si="2"/>
        <v>10799.308799999999</v>
      </c>
      <c r="I43" s="305">
        <v>0.52200000000000002</v>
      </c>
      <c r="J43" s="306">
        <v>4</v>
      </c>
    </row>
    <row r="44" spans="2:10" s="142" customFormat="1" ht="18" customHeight="1">
      <c r="B44" s="165" t="s">
        <v>1793</v>
      </c>
      <c r="C44" s="165" t="s">
        <v>1779</v>
      </c>
      <c r="D44" s="165" t="s">
        <v>1780</v>
      </c>
      <c r="E44" s="165" t="s">
        <v>1795</v>
      </c>
      <c r="F44" s="304">
        <v>91238.399999999994</v>
      </c>
      <c r="G44" s="304">
        <v>90326.015999999989</v>
      </c>
      <c r="H44" s="304">
        <f t="shared" si="2"/>
        <v>912.38400000000547</v>
      </c>
      <c r="I44" s="305">
        <v>0.315</v>
      </c>
      <c r="J44" s="306">
        <v>9</v>
      </c>
    </row>
    <row r="45" spans="2:10" s="142" customFormat="1" ht="18" customHeight="1">
      <c r="B45" s="165" t="s">
        <v>1793</v>
      </c>
      <c r="C45" s="165" t="s">
        <v>1779</v>
      </c>
      <c r="D45" s="165" t="s">
        <v>1784</v>
      </c>
      <c r="E45" s="165" t="s">
        <v>1794</v>
      </c>
      <c r="F45" s="304">
        <v>91463.039999999994</v>
      </c>
      <c r="G45" s="304">
        <v>72255.801599999992</v>
      </c>
      <c r="H45" s="304">
        <f t="shared" si="2"/>
        <v>19207.238400000002</v>
      </c>
      <c r="I45" s="305">
        <v>0.27600000000000002</v>
      </c>
      <c r="J45" s="306">
        <v>5</v>
      </c>
    </row>
    <row r="46" spans="2:10" s="142" customFormat="1" ht="18" customHeight="1">
      <c r="B46" s="165" t="s">
        <v>1793</v>
      </c>
      <c r="C46" s="165" t="s">
        <v>1779</v>
      </c>
      <c r="D46" s="165" t="s">
        <v>1780</v>
      </c>
      <c r="E46" s="165" t="s">
        <v>1795</v>
      </c>
      <c r="F46" s="304">
        <v>90305.279999999999</v>
      </c>
      <c r="G46" s="304">
        <v>70438.118399999992</v>
      </c>
      <c r="H46" s="304">
        <f t="shared" si="2"/>
        <v>19867.161600000007</v>
      </c>
      <c r="I46" s="307">
        <v>0.26500000000000001</v>
      </c>
      <c r="J46" s="306">
        <v>2</v>
      </c>
    </row>
    <row r="47" spans="2:10" s="142" customFormat="1" ht="18" customHeight="1">
      <c r="B47" s="165" t="s">
        <v>1793</v>
      </c>
      <c r="C47" s="165" t="s">
        <v>1779</v>
      </c>
      <c r="D47" s="165" t="s">
        <v>1783</v>
      </c>
      <c r="E47" s="165" t="s">
        <v>1795</v>
      </c>
      <c r="F47" s="304">
        <v>92620.800000000003</v>
      </c>
      <c r="G47" s="304">
        <v>104661.504</v>
      </c>
      <c r="H47" s="304">
        <f t="shared" si="2"/>
        <v>-12040.703999999998</v>
      </c>
      <c r="I47" s="305">
        <v>0.255</v>
      </c>
      <c r="J47" s="306">
        <v>9</v>
      </c>
    </row>
    <row r="48" spans="2:10" s="142" customFormat="1" ht="18" customHeight="1">
      <c r="B48" s="165" t="s">
        <v>1793</v>
      </c>
      <c r="C48" s="165" t="s">
        <v>1779</v>
      </c>
      <c r="D48" s="165" t="s">
        <v>1784</v>
      </c>
      <c r="E48" s="165" t="s">
        <v>1794</v>
      </c>
      <c r="F48" s="304">
        <v>154275.84</v>
      </c>
      <c r="G48" s="304">
        <v>143476.5312</v>
      </c>
      <c r="H48" s="304">
        <f t="shared" si="2"/>
        <v>10799.308799999999</v>
      </c>
      <c r="I48" s="305">
        <v>0.247</v>
      </c>
      <c r="J48" s="306">
        <v>8</v>
      </c>
    </row>
    <row r="49" spans="2:10" s="142" customFormat="1" ht="18" customHeight="1">
      <c r="B49" s="165" t="s">
        <v>1793</v>
      </c>
      <c r="C49" s="165" t="s">
        <v>1779</v>
      </c>
      <c r="D49" s="165" t="s">
        <v>1784</v>
      </c>
      <c r="E49" s="165" t="s">
        <v>1795</v>
      </c>
      <c r="F49" s="304">
        <v>1447185.6</v>
      </c>
      <c r="G49" s="304">
        <v>975545</v>
      </c>
      <c r="H49" s="304">
        <f t="shared" si="2"/>
        <v>471640.60000000009</v>
      </c>
      <c r="I49" s="305">
        <v>0.23300000000000001</v>
      </c>
      <c r="J49" s="306">
        <v>9</v>
      </c>
    </row>
    <row r="50" spans="2:10" s="142" customFormat="1" ht="18" customHeight="1">
      <c r="B50" s="165" t="s">
        <v>1793</v>
      </c>
      <c r="C50" s="165" t="s">
        <v>1779</v>
      </c>
      <c r="D50" s="165" t="s">
        <v>1783</v>
      </c>
      <c r="E50" s="165" t="s">
        <v>1794</v>
      </c>
      <c r="F50" s="304">
        <v>113923.584</v>
      </c>
      <c r="G50" s="304">
        <v>93417.338879999996</v>
      </c>
      <c r="H50" s="304">
        <f t="shared" si="2"/>
        <v>20506.245120000007</v>
      </c>
      <c r="I50" s="305">
        <v>0.187</v>
      </c>
      <c r="J50" s="306">
        <v>5</v>
      </c>
    </row>
    <row r="51" spans="2:10" s="142" customFormat="1" ht="18" customHeight="1">
      <c r="B51" s="165" t="s">
        <v>1793</v>
      </c>
      <c r="C51" s="165" t="s">
        <v>1779</v>
      </c>
      <c r="D51" s="165" t="s">
        <v>1784</v>
      </c>
      <c r="E51" s="165" t="s">
        <v>1795</v>
      </c>
      <c r="F51" s="304">
        <v>94936.320000000007</v>
      </c>
      <c r="G51" s="304">
        <v>77847.782399999996</v>
      </c>
      <c r="H51" s="304">
        <f t="shared" si="2"/>
        <v>17088.537600000011</v>
      </c>
      <c r="I51" s="305">
        <v>0.13400000000000001</v>
      </c>
      <c r="J51" s="306">
        <v>4</v>
      </c>
    </row>
    <row r="52" spans="2:10" s="142" customFormat="1" ht="18" customHeight="1">
      <c r="B52" s="165" t="s">
        <v>1796</v>
      </c>
      <c r="C52" s="165" t="s">
        <v>1786</v>
      </c>
      <c r="D52" s="165" t="s">
        <v>1787</v>
      </c>
      <c r="E52" s="165" t="s">
        <v>1781</v>
      </c>
      <c r="F52" s="304">
        <v>1205988</v>
      </c>
      <c r="G52" s="304">
        <v>657880</v>
      </c>
      <c r="H52" s="304">
        <f t="shared" si="2"/>
        <v>548108</v>
      </c>
      <c r="I52" s="305">
        <v>0.432</v>
      </c>
      <c r="J52" s="306">
        <v>10</v>
      </c>
    </row>
    <row r="53" spans="2:10" s="142" customFormat="1" ht="18" customHeight="1">
      <c r="B53" s="165" t="s">
        <v>1796</v>
      </c>
      <c r="C53" s="165" t="s">
        <v>1786</v>
      </c>
      <c r="D53" s="165" t="s">
        <v>1787</v>
      </c>
      <c r="E53" s="165" t="s">
        <v>1781</v>
      </c>
      <c r="F53" s="304">
        <f>128563.2+200000</f>
        <v>328563.20000000001</v>
      </c>
      <c r="G53" s="304">
        <v>305563.77600000001</v>
      </c>
      <c r="H53" s="304">
        <f t="shared" si="2"/>
        <v>22999.423999999999</v>
      </c>
      <c r="I53" s="307">
        <v>0.39800000000000002</v>
      </c>
      <c r="J53" s="306">
        <v>3</v>
      </c>
    </row>
    <row r="54" spans="2:10" s="142" customFormat="1" ht="18" customHeight="1">
      <c r="B54" s="165" t="s">
        <v>1797</v>
      </c>
      <c r="C54" s="165" t="s">
        <v>1788</v>
      </c>
      <c r="D54" s="165" t="s">
        <v>1792</v>
      </c>
      <c r="E54" s="165" t="s">
        <v>1794</v>
      </c>
      <c r="F54" s="304">
        <v>54120</v>
      </c>
      <c r="G54" s="304">
        <v>44378.400000000001</v>
      </c>
      <c r="H54" s="304">
        <f t="shared" si="2"/>
        <v>9741.5999999999985</v>
      </c>
      <c r="I54" s="305">
        <v>0.54300000000000004</v>
      </c>
      <c r="J54" s="306">
        <v>3</v>
      </c>
    </row>
    <row r="55" spans="2:10" s="142" customFormat="1" ht="18" customHeight="1">
      <c r="B55" s="165" t="s">
        <v>1797</v>
      </c>
      <c r="C55" s="165" t="s">
        <v>1786</v>
      </c>
      <c r="D55" s="165" t="s">
        <v>1787</v>
      </c>
      <c r="E55" s="165" t="s">
        <v>1794</v>
      </c>
      <c r="F55" s="304">
        <v>39600</v>
      </c>
      <c r="G55" s="304">
        <v>38016</v>
      </c>
      <c r="H55" s="304">
        <f t="shared" si="2"/>
        <v>1584</v>
      </c>
      <c r="I55" s="305">
        <v>0.61199999999999999</v>
      </c>
      <c r="J55" s="306">
        <v>2</v>
      </c>
    </row>
    <row r="56" spans="2:10" s="142" customFormat="1" ht="18" customHeight="1">
      <c r="B56" s="165" t="s">
        <v>1797</v>
      </c>
      <c r="C56" s="165" t="s">
        <v>1788</v>
      </c>
      <c r="D56" s="165" t="s">
        <v>1789</v>
      </c>
      <c r="E56" s="165" t="s">
        <v>1795</v>
      </c>
      <c r="F56" s="304">
        <v>77184</v>
      </c>
      <c r="G56" s="304">
        <v>87217.919999999998</v>
      </c>
      <c r="H56" s="304">
        <f t="shared" si="2"/>
        <v>-10033.919999999998</v>
      </c>
      <c r="I56" s="305">
        <v>0.34399999999999997</v>
      </c>
      <c r="J56" s="306">
        <v>5</v>
      </c>
    </row>
    <row r="57" spans="2:10" s="142" customFormat="1" ht="18" customHeight="1">
      <c r="B57" s="165" t="s">
        <v>1797</v>
      </c>
      <c r="C57" s="165" t="s">
        <v>1788</v>
      </c>
      <c r="D57" s="165" t="s">
        <v>1789</v>
      </c>
      <c r="E57" s="165" t="s">
        <v>1795</v>
      </c>
      <c r="F57" s="304">
        <v>76219.199999999997</v>
      </c>
      <c r="G57" s="304">
        <v>60213.167999999998</v>
      </c>
      <c r="H57" s="304">
        <f t="shared" si="2"/>
        <v>16006.031999999999</v>
      </c>
      <c r="I57" s="305">
        <v>0.754</v>
      </c>
      <c r="J57" s="306">
        <v>1</v>
      </c>
    </row>
    <row r="58" spans="2:10" s="142" customFormat="1" ht="18" customHeight="1">
      <c r="B58" s="165" t="s">
        <v>1797</v>
      </c>
      <c r="C58" s="165" t="s">
        <v>1786</v>
      </c>
      <c r="D58" s="165" t="s">
        <v>1787</v>
      </c>
      <c r="E58" s="165" t="s">
        <v>1795</v>
      </c>
      <c r="F58" s="304">
        <v>79113.600000000006</v>
      </c>
      <c r="G58" s="304">
        <v>64873.152000000002</v>
      </c>
      <c r="H58" s="304">
        <f t="shared" si="2"/>
        <v>14240.448000000004</v>
      </c>
      <c r="I58" s="305">
        <v>0.435</v>
      </c>
      <c r="J58" s="306">
        <v>6</v>
      </c>
    </row>
    <row r="59" spans="2:10" s="142" customFormat="1" ht="18" customHeight="1">
      <c r="B59" s="165" t="s">
        <v>1797</v>
      </c>
      <c r="C59" s="165" t="s">
        <v>1788</v>
      </c>
      <c r="D59" s="165" t="s">
        <v>1792</v>
      </c>
      <c r="E59" s="165" t="s">
        <v>1794</v>
      </c>
      <c r="F59" s="304">
        <v>39600</v>
      </c>
      <c r="G59" s="304">
        <v>38016</v>
      </c>
      <c r="H59" s="304">
        <f t="shared" si="2"/>
        <v>1584</v>
      </c>
      <c r="I59" s="305">
        <v>0.56299999999999994</v>
      </c>
      <c r="J59" s="306">
        <v>8</v>
      </c>
    </row>
    <row r="60" spans="2:10" s="142" customFormat="1" ht="18" customHeight="1">
      <c r="B60" s="165" t="s">
        <v>1797</v>
      </c>
      <c r="C60" s="165" t="s">
        <v>1786</v>
      </c>
      <c r="D60" s="165" t="s">
        <v>1787</v>
      </c>
      <c r="E60" s="165" t="s">
        <v>1782</v>
      </c>
      <c r="F60" s="304">
        <v>71676</v>
      </c>
      <c r="G60" s="304">
        <v>70959.240000000005</v>
      </c>
      <c r="H60" s="304">
        <f t="shared" si="2"/>
        <v>716.75999999999476</v>
      </c>
      <c r="I60" s="305">
        <v>0.23400000000000001</v>
      </c>
      <c r="J60" s="306">
        <v>1</v>
      </c>
    </row>
    <row r="61" spans="2:10" s="142" customFormat="1" ht="18" customHeight="1">
      <c r="B61" s="165" t="s">
        <v>1797</v>
      </c>
      <c r="C61" s="165" t="s">
        <v>1786</v>
      </c>
      <c r="D61" s="165" t="s">
        <v>1790</v>
      </c>
      <c r="E61" s="165" t="s">
        <v>1795</v>
      </c>
      <c r="F61" s="304">
        <v>75254.399999999994</v>
      </c>
      <c r="G61" s="304">
        <v>58698.432000000001</v>
      </c>
      <c r="H61" s="304">
        <f t="shared" si="2"/>
        <v>16555.967999999993</v>
      </c>
      <c r="I61" s="305">
        <v>0.35599999999999998</v>
      </c>
      <c r="J61" s="306">
        <v>5</v>
      </c>
    </row>
    <row r="62" spans="2:10" s="142" customFormat="1" ht="18" customHeight="1">
      <c r="B62" s="165" t="s">
        <v>1797</v>
      </c>
      <c r="C62" s="165" t="s">
        <v>1788</v>
      </c>
      <c r="D62" s="165" t="s">
        <v>1789</v>
      </c>
      <c r="E62" s="165" t="s">
        <v>1794</v>
      </c>
      <c r="F62" s="304">
        <v>52140</v>
      </c>
      <c r="G62" s="304">
        <v>41190.6</v>
      </c>
      <c r="H62" s="304">
        <f t="shared" si="2"/>
        <v>10949.400000000001</v>
      </c>
      <c r="I62" s="305">
        <v>0.35599999999999998</v>
      </c>
      <c r="J62" s="306">
        <v>5</v>
      </c>
    </row>
    <row r="63" spans="2:10" s="142" customFormat="1" ht="18" customHeight="1">
      <c r="B63" s="165" t="s">
        <v>1797</v>
      </c>
      <c r="C63" s="165" t="s">
        <v>1788</v>
      </c>
      <c r="D63" s="165" t="s">
        <v>1792</v>
      </c>
      <c r="E63" s="165" t="s">
        <v>1794</v>
      </c>
      <c r="F63" s="304">
        <v>54120</v>
      </c>
      <c r="G63" s="304">
        <v>44378.400000000001</v>
      </c>
      <c r="H63" s="304">
        <f t="shared" si="2"/>
        <v>9741.5999999999985</v>
      </c>
      <c r="I63" s="305">
        <v>0.377</v>
      </c>
      <c r="J63" s="306">
        <v>8</v>
      </c>
    </row>
    <row r="64" spans="2:10" s="142" customFormat="1" ht="18" customHeight="1">
      <c r="B64" s="165" t="s">
        <v>1797</v>
      </c>
      <c r="C64" s="165" t="s">
        <v>1786</v>
      </c>
      <c r="D64" s="165" t="s">
        <v>1787</v>
      </c>
      <c r="E64" s="165" t="s">
        <v>1795</v>
      </c>
      <c r="F64" s="304">
        <v>57888</v>
      </c>
      <c r="G64" s="304">
        <v>55572.480000000003</v>
      </c>
      <c r="H64" s="304">
        <f t="shared" si="2"/>
        <v>2315.5199999999968</v>
      </c>
      <c r="I64" s="305">
        <v>0.245</v>
      </c>
      <c r="J64" s="306">
        <v>5</v>
      </c>
    </row>
    <row r="65" spans="2:10" s="142" customFormat="1" ht="18" customHeight="1">
      <c r="B65" s="165" t="s">
        <v>1797</v>
      </c>
      <c r="C65" s="165" t="s">
        <v>1786</v>
      </c>
      <c r="D65" s="165" t="s">
        <v>1787</v>
      </c>
      <c r="E65" s="165" t="s">
        <v>1795</v>
      </c>
      <c r="F65" s="304">
        <v>79113.600000000006</v>
      </c>
      <c r="G65" s="304">
        <v>64873.152000000002</v>
      </c>
      <c r="H65" s="304">
        <f t="shared" si="2"/>
        <v>14240.448000000004</v>
      </c>
      <c r="I65" s="305">
        <v>0.27600000000000002</v>
      </c>
      <c r="J65" s="306">
        <v>0</v>
      </c>
    </row>
    <row r="66" spans="2:10" s="142" customFormat="1" ht="18" customHeight="1">
      <c r="B66" s="165" t="s">
        <v>1797</v>
      </c>
      <c r="C66" s="165" t="s">
        <v>1788</v>
      </c>
      <c r="D66" s="165" t="s">
        <v>1789</v>
      </c>
      <c r="E66" s="165" t="s">
        <v>1794</v>
      </c>
      <c r="F66" s="304">
        <v>52140</v>
      </c>
      <c r="G66" s="304">
        <v>41190.6</v>
      </c>
      <c r="H66" s="304">
        <f t="shared" si="2"/>
        <v>10949.400000000001</v>
      </c>
      <c r="I66" s="305">
        <v>0.27600000000000002</v>
      </c>
      <c r="J66" s="306">
        <v>6</v>
      </c>
    </row>
    <row r="67" spans="2:10" s="142" customFormat="1" ht="18" customHeight="1">
      <c r="B67" s="165" t="s">
        <v>1797</v>
      </c>
      <c r="C67" s="165" t="s">
        <v>1786</v>
      </c>
      <c r="D67" s="165" t="s">
        <v>1790</v>
      </c>
      <c r="E67" s="165" t="s">
        <v>1795</v>
      </c>
      <c r="F67" s="304">
        <v>76219.199999999997</v>
      </c>
      <c r="G67" s="304">
        <v>60213.167999999998</v>
      </c>
      <c r="H67" s="304">
        <f t="shared" si="2"/>
        <v>16006.031999999999</v>
      </c>
      <c r="I67" s="305">
        <v>0.26500000000000001</v>
      </c>
      <c r="J67" s="306">
        <v>7</v>
      </c>
    </row>
    <row r="68" spans="2:10" s="142" customFormat="1" ht="18" customHeight="1">
      <c r="B68" s="165" t="s">
        <v>1797</v>
      </c>
      <c r="C68" s="165" t="s">
        <v>1786</v>
      </c>
      <c r="D68" s="165" t="s">
        <v>1787</v>
      </c>
      <c r="E68" s="165" t="s">
        <v>1794</v>
      </c>
      <c r="F68" s="304">
        <v>51480</v>
      </c>
      <c r="G68" s="304">
        <v>58172.4</v>
      </c>
      <c r="H68" s="304">
        <f t="shared" si="2"/>
        <v>-6692.4000000000015</v>
      </c>
      <c r="I68" s="307">
        <v>0.26500000000000001</v>
      </c>
      <c r="J68" s="306">
        <v>9</v>
      </c>
    </row>
    <row r="69" spans="2:10" s="142" customFormat="1" ht="18" customHeight="1">
      <c r="B69" s="165" t="s">
        <v>1797</v>
      </c>
      <c r="C69" s="165" t="s">
        <v>1788</v>
      </c>
      <c r="D69" s="165" t="s">
        <v>1789</v>
      </c>
      <c r="E69" s="165" t="s">
        <v>1795</v>
      </c>
      <c r="F69" s="304">
        <v>75254.399999999994</v>
      </c>
      <c r="G69" s="304">
        <v>58698.432000000001</v>
      </c>
      <c r="H69" s="304">
        <f t="shared" si="2"/>
        <v>16555.967999999993</v>
      </c>
      <c r="I69" s="305">
        <v>0.255</v>
      </c>
      <c r="J69" s="306">
        <v>9</v>
      </c>
    </row>
    <row r="70" spans="2:10" s="142" customFormat="1" ht="18" customHeight="1">
      <c r="B70" s="165" t="s">
        <v>1797</v>
      </c>
      <c r="C70" s="165" t="s">
        <v>1788</v>
      </c>
      <c r="D70" s="165" t="s">
        <v>1792</v>
      </c>
      <c r="E70" s="165" t="s">
        <v>1795</v>
      </c>
      <c r="F70" s="304">
        <v>79113.600000000006</v>
      </c>
      <c r="G70" s="304">
        <v>64873.152000000002</v>
      </c>
      <c r="H70" s="304">
        <f t="shared" si="2"/>
        <v>14240.448000000004</v>
      </c>
      <c r="I70" s="305">
        <v>0.255</v>
      </c>
      <c r="J70" s="306">
        <v>9</v>
      </c>
    </row>
    <row r="71" spans="2:10" s="142" customFormat="1" ht="18" customHeight="1">
      <c r="B71" s="165" t="s">
        <v>1797</v>
      </c>
      <c r="C71" s="165" t="s">
        <v>1788</v>
      </c>
      <c r="D71" s="165" t="s">
        <v>1792</v>
      </c>
      <c r="E71" s="165" t="s">
        <v>1794</v>
      </c>
      <c r="F71" s="304">
        <v>51480</v>
      </c>
      <c r="G71" s="304">
        <v>40154.400000000001</v>
      </c>
      <c r="H71" s="304">
        <f t="shared" si="2"/>
        <v>11325.599999999999</v>
      </c>
      <c r="I71" s="305">
        <v>0.255</v>
      </c>
      <c r="J71" s="306">
        <v>2</v>
      </c>
    </row>
    <row r="72" spans="2:10" s="142" customFormat="1" ht="18" customHeight="1">
      <c r="B72" s="165" t="s">
        <v>1797</v>
      </c>
      <c r="C72" s="165" t="s">
        <v>1788</v>
      </c>
      <c r="D72" s="165" t="s">
        <v>1789</v>
      </c>
      <c r="E72" s="165" t="s">
        <v>1795</v>
      </c>
      <c r="F72" s="304">
        <v>77184</v>
      </c>
      <c r="G72" s="304">
        <v>68693.759999999995</v>
      </c>
      <c r="H72" s="304">
        <f t="shared" si="2"/>
        <v>8490.2400000000052</v>
      </c>
      <c r="I72" s="305">
        <v>0.255</v>
      </c>
      <c r="J72" s="306">
        <v>5</v>
      </c>
    </row>
    <row r="73" spans="2:10" s="142" customFormat="1" ht="18" customHeight="1">
      <c r="B73" s="165" t="s">
        <v>1797</v>
      </c>
      <c r="C73" s="165" t="s">
        <v>1788</v>
      </c>
      <c r="D73" s="165" t="s">
        <v>1789</v>
      </c>
      <c r="E73" s="165" t="s">
        <v>1794</v>
      </c>
      <c r="F73" s="304">
        <v>52800</v>
      </c>
      <c r="G73" s="304">
        <v>59664</v>
      </c>
      <c r="H73" s="304">
        <f t="shared" ref="H73:H104" si="3">F73-G73</f>
        <v>-6864</v>
      </c>
      <c r="I73" s="305">
        <v>0.255</v>
      </c>
      <c r="J73" s="306">
        <v>8</v>
      </c>
    </row>
    <row r="74" spans="2:10" s="142" customFormat="1" ht="18" customHeight="1">
      <c r="B74" s="165" t="s">
        <v>1797</v>
      </c>
      <c r="C74" s="165" t="s">
        <v>1786</v>
      </c>
      <c r="D74" s="165" t="s">
        <v>1790</v>
      </c>
      <c r="E74" s="165" t="s">
        <v>1781</v>
      </c>
      <c r="F74" s="304">
        <v>296700</v>
      </c>
      <c r="G74" s="304">
        <v>216591</v>
      </c>
      <c r="H74" s="304">
        <f t="shared" si="3"/>
        <v>80109</v>
      </c>
      <c r="I74" s="305">
        <v>0.23300000000000001</v>
      </c>
      <c r="J74" s="306">
        <v>1</v>
      </c>
    </row>
    <row r="75" spans="2:10" s="142" customFormat="1" ht="18" customHeight="1">
      <c r="B75" s="165" t="s">
        <v>1797</v>
      </c>
      <c r="C75" s="165" t="s">
        <v>1786</v>
      </c>
      <c r="D75" s="165" t="s">
        <v>1790</v>
      </c>
      <c r="E75" s="165" t="s">
        <v>1794</v>
      </c>
      <c r="F75" s="304">
        <v>52800</v>
      </c>
      <c r="G75" s="304">
        <v>46992</v>
      </c>
      <c r="H75" s="304">
        <f t="shared" si="3"/>
        <v>5808</v>
      </c>
      <c r="I75" s="305">
        <v>0.187</v>
      </c>
      <c r="J75" s="306">
        <v>9</v>
      </c>
    </row>
    <row r="76" spans="2:10" s="142" customFormat="1" ht="18" customHeight="1">
      <c r="B76" s="165" t="s">
        <v>1797</v>
      </c>
      <c r="C76" s="165" t="s">
        <v>1786</v>
      </c>
      <c r="D76" s="165" t="s">
        <v>1787</v>
      </c>
      <c r="E76" s="165" t="s">
        <v>1795</v>
      </c>
      <c r="F76" s="304">
        <v>57888</v>
      </c>
      <c r="G76" s="304">
        <v>55572.480000000003</v>
      </c>
      <c r="H76" s="304">
        <f t="shared" si="3"/>
        <v>2315.5199999999968</v>
      </c>
      <c r="I76" s="305">
        <v>0.187</v>
      </c>
      <c r="J76" s="306">
        <v>3</v>
      </c>
    </row>
    <row r="77" spans="2:10" s="311" customFormat="1" ht="18" customHeight="1">
      <c r="B77" s="189"/>
      <c r="C77" s="189"/>
      <c r="D77" s="189"/>
      <c r="E77" s="189"/>
      <c r="F77" s="308"/>
      <c r="G77" s="308"/>
      <c r="H77" s="308"/>
      <c r="I77" s="309"/>
      <c r="J77" s="310"/>
    </row>
    <row r="78" spans="2:10" s="142" customFormat="1" ht="15.75"/>
    <row r="79" spans="2:10" s="142" customFormat="1" ht="15.75"/>
    <row r="80" spans="2:10" s="142" customFormat="1" ht="15.75"/>
    <row r="81" spans="2:2" s="142" customFormat="1" ht="15.75"/>
    <row r="82" spans="2:2" s="142" customFormat="1" ht="15.75"/>
    <row r="83" spans="2:2" s="142" customFormat="1" ht="15.75"/>
    <row r="84" spans="2:2" s="142" customFormat="1" ht="15.75"/>
    <row r="85" spans="2:2" s="142" customFormat="1" ht="15.75"/>
    <row r="86" spans="2:2" s="142" customFormat="1" ht="15.75"/>
    <row r="87" spans="2:2" s="142" customFormat="1" ht="15.75"/>
    <row r="88" spans="2:2" s="142" customFormat="1" ht="15.75"/>
    <row r="89" spans="2:2" s="142" customFormat="1" ht="15.75"/>
    <row r="90" spans="2:2" s="142" customFormat="1" ht="15.75"/>
    <row r="91" spans="2:2" s="142" customFormat="1" ht="15.75"/>
    <row r="92" spans="2:2" ht="15">
      <c r="B92" s="3"/>
    </row>
    <row r="93" spans="2:2" ht="15">
      <c r="B93" s="3"/>
    </row>
    <row r="94" spans="2:2" ht="15">
      <c r="B94" s="3"/>
    </row>
    <row r="95" spans="2:2" ht="15">
      <c r="B95" s="3"/>
    </row>
    <row r="96" spans="2:2" ht="15">
      <c r="B96" s="3"/>
    </row>
    <row r="97" spans="2:2" ht="15">
      <c r="B97" s="3"/>
    </row>
    <row r="98" spans="2:2" ht="15">
      <c r="B98" s="3"/>
    </row>
    <row r="99" spans="2:2" ht="15">
      <c r="B99" s="3"/>
    </row>
    <row r="100" spans="2:2" ht="15">
      <c r="B100" s="3"/>
    </row>
    <row r="101" spans="2:2" ht="15">
      <c r="B101" s="3"/>
    </row>
    <row r="102" spans="2:2" ht="15">
      <c r="B102" s="3"/>
    </row>
    <row r="103" spans="2:2" ht="15">
      <c r="B103" s="3"/>
    </row>
    <row r="104" spans="2:2" ht="15">
      <c r="B104" s="3"/>
    </row>
    <row r="105" spans="2:2" ht="15">
      <c r="B105" s="3"/>
    </row>
    <row r="106" spans="2:2" ht="15">
      <c r="B106" s="3"/>
    </row>
    <row r="107" spans="2:2" ht="15">
      <c r="B107" s="3"/>
    </row>
    <row r="108" spans="2:2" ht="15">
      <c r="B108" s="3"/>
    </row>
    <row r="109" spans="2:2" ht="15">
      <c r="B109" s="3"/>
    </row>
    <row r="110" spans="2:2" ht="15">
      <c r="B110" s="3"/>
    </row>
    <row r="111" spans="2:2" ht="15">
      <c r="B111" s="3"/>
    </row>
    <row r="112" spans="2:2" ht="15">
      <c r="B112" s="3"/>
    </row>
    <row r="113" spans="2:2" ht="15">
      <c r="B113" s="3"/>
    </row>
    <row r="114" spans="2:2" ht="15">
      <c r="B114" s="3"/>
    </row>
    <row r="115" spans="2:2" ht="15">
      <c r="B115" s="3"/>
    </row>
    <row r="116" spans="2:2" ht="15">
      <c r="B116" s="3"/>
    </row>
    <row r="117" spans="2:2" ht="15">
      <c r="B117" s="3"/>
    </row>
    <row r="118" spans="2:2" ht="15">
      <c r="B118" s="3"/>
    </row>
    <row r="119" spans="2:2" ht="15">
      <c r="B119" s="3"/>
    </row>
    <row r="120" spans="2:2" ht="15">
      <c r="B120" s="3"/>
    </row>
    <row r="121" spans="2:2" ht="15">
      <c r="B121" s="3"/>
    </row>
    <row r="122" spans="2:2" ht="15">
      <c r="B122" s="3"/>
    </row>
    <row r="123" spans="2:2" ht="15">
      <c r="B123" s="3"/>
    </row>
    <row r="124" spans="2:2" ht="15">
      <c r="B124" s="3"/>
    </row>
    <row r="125" spans="2:2" ht="15">
      <c r="B125" s="3"/>
    </row>
    <row r="126" spans="2:2" ht="15">
      <c r="B126" s="3"/>
    </row>
    <row r="127" spans="2:2" ht="15">
      <c r="B127" s="3"/>
    </row>
    <row r="128" spans="2:2" ht="15">
      <c r="B128" s="3"/>
    </row>
    <row r="129" spans="2:2" ht="15">
      <c r="B129" s="3"/>
    </row>
    <row r="130" spans="2:2" ht="15">
      <c r="B130" s="3"/>
    </row>
    <row r="131" spans="2:2" ht="15">
      <c r="B131" s="3"/>
    </row>
    <row r="132" spans="2:2" ht="15">
      <c r="B132" s="3"/>
    </row>
    <row r="133" spans="2:2" ht="15">
      <c r="B133" s="3"/>
    </row>
    <row r="134" spans="2:2" ht="15">
      <c r="B134" s="3"/>
    </row>
    <row r="135" spans="2:2" ht="15">
      <c r="B135" s="3"/>
    </row>
    <row r="136" spans="2:2" ht="15">
      <c r="B136" s="3"/>
    </row>
    <row r="137" spans="2:2" ht="15">
      <c r="B137" s="3"/>
    </row>
    <row r="138" spans="2:2" ht="15">
      <c r="B138" s="3"/>
    </row>
    <row r="139" spans="2:2" ht="15">
      <c r="B139" s="3"/>
    </row>
    <row r="140" spans="2:2" ht="15">
      <c r="B140" s="3"/>
    </row>
    <row r="141" spans="2:2" ht="15">
      <c r="B141" s="3"/>
    </row>
    <row r="142" spans="2:2" ht="15">
      <c r="B142" s="3"/>
    </row>
    <row r="143" spans="2:2" ht="15">
      <c r="B143" s="3"/>
    </row>
    <row r="144" spans="2:2" ht="15">
      <c r="B144" s="3"/>
    </row>
    <row r="145" spans="2:2" ht="15">
      <c r="B145" s="3"/>
    </row>
    <row r="146" spans="2:2" ht="15">
      <c r="B146" s="3"/>
    </row>
    <row r="147" spans="2:2" ht="15">
      <c r="B147" s="3"/>
    </row>
    <row r="148" spans="2:2" ht="15">
      <c r="B148" s="3"/>
    </row>
    <row r="149" spans="2:2" ht="15">
      <c r="B149" s="3"/>
    </row>
    <row r="150" spans="2:2" ht="15">
      <c r="B150" s="3"/>
    </row>
    <row r="151" spans="2:2" ht="15">
      <c r="B151" s="3"/>
    </row>
    <row r="152" spans="2:2" ht="15">
      <c r="B152" s="3"/>
    </row>
    <row r="153" spans="2:2" ht="15">
      <c r="B153" s="3"/>
    </row>
    <row r="154" spans="2:2" ht="15">
      <c r="B154" s="3"/>
    </row>
    <row r="155" spans="2:2" ht="15">
      <c r="B155" s="3"/>
    </row>
    <row r="156" spans="2:2" ht="15">
      <c r="B156" s="3"/>
    </row>
    <row r="157" spans="2:2" ht="15">
      <c r="B157" s="3"/>
    </row>
    <row r="158" spans="2:2" ht="15">
      <c r="B158" s="3"/>
    </row>
    <row r="159" spans="2:2" ht="15">
      <c r="B159" s="3"/>
    </row>
    <row r="160" spans="2:2" ht="15">
      <c r="B160" s="3"/>
    </row>
    <row r="161" spans="2:2" ht="15">
      <c r="B161" s="3"/>
    </row>
    <row r="162" spans="2:2" ht="15">
      <c r="B162" s="3"/>
    </row>
    <row r="163" spans="2:2" ht="15">
      <c r="B163" s="3"/>
    </row>
    <row r="164" spans="2:2" ht="15">
      <c r="B164" s="3"/>
    </row>
    <row r="165" spans="2:2" ht="15">
      <c r="B165" s="3"/>
    </row>
    <row r="166" spans="2:2" ht="15">
      <c r="B166" s="3"/>
    </row>
    <row r="167" spans="2:2" ht="15">
      <c r="B167" s="3"/>
    </row>
    <row r="168" spans="2:2" ht="15">
      <c r="B168" s="3"/>
    </row>
    <row r="169" spans="2:2" ht="15">
      <c r="B169" s="3"/>
    </row>
    <row r="170" spans="2:2" ht="15">
      <c r="B170" s="3"/>
    </row>
    <row r="171" spans="2:2" ht="15">
      <c r="B171" s="3"/>
    </row>
    <row r="172" spans="2:2" ht="15">
      <c r="B172" s="3"/>
    </row>
    <row r="173" spans="2:2" ht="15">
      <c r="B173" s="3"/>
    </row>
    <row r="174" spans="2:2" ht="15">
      <c r="B174" s="3"/>
    </row>
    <row r="175" spans="2:2" ht="15">
      <c r="B175" s="3"/>
    </row>
    <row r="176" spans="2:2" ht="15">
      <c r="B176" s="3"/>
    </row>
    <row r="177" spans="2:2" ht="15">
      <c r="B177" s="3"/>
    </row>
    <row r="178" spans="2:2" ht="15">
      <c r="B178" s="3"/>
    </row>
    <row r="179" spans="2:2" ht="15">
      <c r="B179" s="3"/>
    </row>
    <row r="180" spans="2:2" ht="15">
      <c r="B180" s="3"/>
    </row>
    <row r="181" spans="2:2" ht="15">
      <c r="B181" s="3"/>
    </row>
    <row r="182" spans="2:2" ht="15">
      <c r="B182" s="3"/>
    </row>
    <row r="183" spans="2:2" ht="15">
      <c r="B183" s="3"/>
    </row>
    <row r="184" spans="2:2" ht="15">
      <c r="B184" s="3"/>
    </row>
    <row r="185" spans="2:2" ht="15">
      <c r="B185" s="3"/>
    </row>
    <row r="186" spans="2:2" ht="15">
      <c r="B186" s="3"/>
    </row>
    <row r="187" spans="2:2" ht="15">
      <c r="B187" s="3"/>
    </row>
    <row r="188" spans="2:2" ht="15">
      <c r="B188" s="3"/>
    </row>
    <row r="189" spans="2:2" ht="15">
      <c r="B189" s="3"/>
    </row>
    <row r="190" spans="2:2" ht="15">
      <c r="B190" s="3"/>
    </row>
    <row r="191" spans="2:2" ht="15">
      <c r="B191" s="3"/>
    </row>
    <row r="192" spans="2:2" ht="15">
      <c r="B192" s="3"/>
    </row>
    <row r="193" spans="2:2" ht="15">
      <c r="B193" s="3"/>
    </row>
    <row r="194" spans="2:2" ht="15">
      <c r="B194" s="3"/>
    </row>
    <row r="195" spans="2:2" ht="15">
      <c r="B195" s="3"/>
    </row>
    <row r="196" spans="2:2" ht="15">
      <c r="B196" s="3"/>
    </row>
    <row r="197" spans="2:2" ht="15">
      <c r="B197" s="3"/>
    </row>
    <row r="198" spans="2:2" ht="15">
      <c r="B198" s="3"/>
    </row>
    <row r="199" spans="2:2" ht="15">
      <c r="B199" s="3"/>
    </row>
    <row r="200" spans="2:2" ht="15">
      <c r="B200" s="3"/>
    </row>
    <row r="201" spans="2:2" ht="15">
      <c r="B201" s="3"/>
    </row>
    <row r="202" spans="2:2" ht="15">
      <c r="B202" s="3"/>
    </row>
    <row r="203" spans="2:2" ht="15">
      <c r="B203" s="3"/>
    </row>
  </sheetData>
  <sortState ref="B9:J76">
    <sortCondition ref="B9"/>
  </sortState>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11"/>
  <sheetViews>
    <sheetView showGridLines="0" topLeftCell="A6" zoomScale="120" zoomScaleNormal="120" workbookViewId="0">
      <selection activeCell="F4" sqref="F4"/>
    </sheetView>
  </sheetViews>
  <sheetFormatPr defaultRowHeight="15"/>
  <cols>
    <col min="1" max="3" width="19.5703125" style="539" customWidth="1"/>
    <col min="4" max="4" width="20.7109375" style="539" customWidth="1"/>
    <col min="5" max="8" width="9.140625" style="539"/>
    <col min="9" max="9" width="9.5703125" style="539" customWidth="1"/>
    <col min="10" max="16384" width="9.140625" style="539"/>
  </cols>
  <sheetData>
    <row r="1" spans="1:5" ht="19.5">
      <c r="A1" s="557"/>
      <c r="B1" s="538"/>
      <c r="C1" s="538"/>
      <c r="D1" s="538"/>
      <c r="E1" s="636" t="s">
        <v>2056</v>
      </c>
    </row>
    <row r="2" spans="1:5">
      <c r="A2" s="646" t="s">
        <v>19</v>
      </c>
      <c r="B2" s="645"/>
      <c r="C2" s="645"/>
      <c r="D2" s="645"/>
    </row>
    <row r="3" spans="1:5">
      <c r="A3" s="645"/>
      <c r="B3" s="645"/>
      <c r="C3" s="645"/>
      <c r="D3" s="645"/>
    </row>
    <row r="4" spans="1:5">
      <c r="A4" s="645"/>
      <c r="B4" s="645"/>
      <c r="C4" s="645"/>
      <c r="D4" s="645"/>
    </row>
    <row r="5" spans="1:5">
      <c r="A5" s="92"/>
      <c r="B5" s="92"/>
      <c r="C5" s="92"/>
      <c r="D5" s="92"/>
    </row>
    <row r="6" spans="1:5">
      <c r="A6" s="540">
        <f ca="1">TODAY()</f>
        <v>40261</v>
      </c>
    </row>
    <row r="7" spans="1:5" ht="15" customHeight="1">
      <c r="A7" s="541"/>
      <c r="B7" s="562" t="s">
        <v>624</v>
      </c>
      <c r="C7" s="563" t="s">
        <v>6</v>
      </c>
      <c r="D7" s="562" t="s">
        <v>625</v>
      </c>
    </row>
    <row r="8" spans="1:5">
      <c r="A8" s="539" t="s">
        <v>4</v>
      </c>
      <c r="B8" s="542">
        <v>39508</v>
      </c>
      <c r="C8" s="543">
        <f ca="1">($A$6-B8)/365.26</f>
        <v>2.0615452006789683</v>
      </c>
      <c r="D8" s="564">
        <f ca="1">IF(C8&gt;1,INT(C8)+4,0)</f>
        <v>6</v>
      </c>
    </row>
    <row r="9" spans="1:5">
      <c r="A9" s="546" t="s">
        <v>3</v>
      </c>
      <c r="B9" s="547">
        <v>38657</v>
      </c>
      <c r="C9" s="548">
        <f ca="1">($A$6-B9)/365.26</f>
        <v>4.3913924327876037</v>
      </c>
      <c r="D9" s="565">
        <f ca="1">IF(C9&gt;1,INT(C9)+4,0)</f>
        <v>8</v>
      </c>
    </row>
    <row r="10" spans="1:5">
      <c r="A10" s="539" t="s">
        <v>5</v>
      </c>
      <c r="B10" s="542">
        <v>37773</v>
      </c>
      <c r="C10" s="543">
        <f ca="1">($A$6-B10)/365.26</f>
        <v>6.8115862673164322</v>
      </c>
      <c r="D10" s="564">
        <f ca="1">IF(C10&gt;1,INT(C10)+4,0)</f>
        <v>10</v>
      </c>
    </row>
    <row r="11" spans="1:5">
      <c r="A11" s="546" t="s">
        <v>2</v>
      </c>
      <c r="B11" s="547">
        <v>39845</v>
      </c>
      <c r="C11" s="548">
        <f ca="1">($A$6-B11)/365.26</f>
        <v>1.1389147456606252</v>
      </c>
      <c r="D11" s="565">
        <f ca="1">IF(C11&gt;1,INT(C11)+4,0)</f>
        <v>5</v>
      </c>
    </row>
  </sheetData>
  <mergeCells count="1">
    <mergeCell ref="A2:D4"/>
  </mergeCell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50.xml><?xml version="1.0" encoding="utf-8"?>
<worksheet xmlns="http://schemas.openxmlformats.org/spreadsheetml/2006/main" xmlns:r="http://schemas.openxmlformats.org/officeDocument/2006/relationships">
  <dimension ref="A1:J203"/>
  <sheetViews>
    <sheetView showGridLines="0" workbookViewId="0">
      <selection activeCell="F4" sqref="F4"/>
    </sheetView>
  </sheetViews>
  <sheetFormatPr defaultRowHeight="26.25"/>
  <cols>
    <col min="1" max="1" width="3.42578125" style="3" customWidth="1"/>
    <col min="2" max="2" width="12.7109375" style="114" customWidth="1"/>
    <col min="3" max="9" width="15.85546875" style="3" customWidth="1"/>
    <col min="10" max="10" width="11.5703125" style="3" customWidth="1"/>
    <col min="11" max="26" width="10.28515625" style="3" customWidth="1"/>
    <col min="27" max="29" width="10" style="3" customWidth="1"/>
    <col min="30" max="16384" width="9.140625" style="3"/>
  </cols>
  <sheetData>
    <row r="1" spans="1:10" ht="30">
      <c r="A1" s="113" t="s">
        <v>1759</v>
      </c>
      <c r="E1" s="637" t="s">
        <v>2056</v>
      </c>
      <c r="I1" s="114" t="s">
        <v>1770</v>
      </c>
    </row>
    <row r="2" spans="1:10" ht="30">
      <c r="A2" s="115" t="s">
        <v>421</v>
      </c>
      <c r="E2" s="313">
        <f>DMAX(B8:J76,J8,I1:I2)</f>
        <v>9</v>
      </c>
      <c r="I2" s="114" t="s">
        <v>1771</v>
      </c>
    </row>
    <row r="3" spans="1:10">
      <c r="A3" s="19"/>
      <c r="B3" s="118"/>
    </row>
    <row r="5" spans="1:10" ht="18">
      <c r="B5" s="119" t="s">
        <v>1772</v>
      </c>
      <c r="C5" s="120"/>
      <c r="D5" s="120"/>
      <c r="E5" s="120"/>
      <c r="F5" s="121"/>
      <c r="G5" s="121"/>
      <c r="H5" s="121"/>
      <c r="I5" s="120"/>
      <c r="J5" s="122"/>
    </row>
    <row r="6" spans="1:10" ht="18">
      <c r="B6" s="123" t="s">
        <v>1773</v>
      </c>
      <c r="C6" s="124"/>
      <c r="D6" s="124"/>
      <c r="E6" s="124"/>
      <c r="F6" s="125"/>
      <c r="G6" s="125"/>
      <c r="H6" s="125"/>
      <c r="I6" s="124"/>
      <c r="J6" s="126"/>
    </row>
    <row r="7" spans="1:10" ht="18" hidden="1">
      <c r="B7" s="127"/>
      <c r="C7" s="128"/>
      <c r="D7" s="128"/>
      <c r="E7" s="128"/>
      <c r="F7" s="129"/>
      <c r="G7" s="129"/>
      <c r="H7" s="129"/>
      <c r="I7" s="128"/>
    </row>
    <row r="8" spans="1:10" ht="39" customHeight="1" thickBot="1">
      <c r="B8" s="130" t="s">
        <v>1770</v>
      </c>
      <c r="C8" s="130" t="s">
        <v>176</v>
      </c>
      <c r="D8" s="130" t="s">
        <v>175</v>
      </c>
      <c r="E8" s="130" t="s">
        <v>264</v>
      </c>
      <c r="F8" s="131" t="s">
        <v>1774</v>
      </c>
      <c r="G8" s="131" t="s">
        <v>1775</v>
      </c>
      <c r="H8" s="132" t="s">
        <v>1776</v>
      </c>
      <c r="I8" s="133" t="s">
        <v>1777</v>
      </c>
      <c r="J8" s="133" t="s">
        <v>1778</v>
      </c>
    </row>
    <row r="9" spans="1:10" ht="18" customHeight="1">
      <c r="B9" s="134" t="s">
        <v>1771</v>
      </c>
      <c r="C9" s="134" t="s">
        <v>1779</v>
      </c>
      <c r="D9" s="134" t="s">
        <v>1780</v>
      </c>
      <c r="E9" s="134" t="s">
        <v>1781</v>
      </c>
      <c r="F9" s="135">
        <v>47520</v>
      </c>
      <c r="G9" s="135">
        <v>45619.199999999997</v>
      </c>
      <c r="H9" s="135">
        <f t="shared" ref="H9:H72" si="0">F9-G9</f>
        <v>1900.8000000000029</v>
      </c>
      <c r="I9" s="136">
        <v>0.247</v>
      </c>
      <c r="J9" s="137">
        <v>6</v>
      </c>
    </row>
    <row r="10" spans="1:10" ht="18" customHeight="1">
      <c r="B10" s="134" t="s">
        <v>1771</v>
      </c>
      <c r="C10" s="134" t="s">
        <v>1779</v>
      </c>
      <c r="D10" s="134" t="s">
        <v>1780</v>
      </c>
      <c r="E10" s="134" t="s">
        <v>1782</v>
      </c>
      <c r="F10" s="135">
        <v>91463.039999999994</v>
      </c>
      <c r="G10" s="135">
        <v>72255.801599999992</v>
      </c>
      <c r="H10" s="135">
        <f t="shared" si="0"/>
        <v>19207.238400000002</v>
      </c>
      <c r="I10" s="136">
        <v>0.35599999999999998</v>
      </c>
      <c r="J10" s="137">
        <v>8</v>
      </c>
    </row>
    <row r="11" spans="1:10" ht="18" customHeight="1">
      <c r="B11" s="134" t="s">
        <v>1771</v>
      </c>
      <c r="C11" s="134" t="s">
        <v>1779</v>
      </c>
      <c r="D11" s="134" t="s">
        <v>1780</v>
      </c>
      <c r="E11" s="134" t="s">
        <v>1781</v>
      </c>
      <c r="F11" s="135">
        <v>356040</v>
      </c>
      <c r="G11" s="135">
        <v>259909.2</v>
      </c>
      <c r="H11" s="135">
        <f t="shared" si="0"/>
        <v>96130.799999999988</v>
      </c>
      <c r="I11" s="136">
        <v>0.255</v>
      </c>
      <c r="J11" s="137">
        <v>2</v>
      </c>
    </row>
    <row r="12" spans="1:10" ht="18" customHeight="1">
      <c r="B12" s="134" t="s">
        <v>1771</v>
      </c>
      <c r="C12" s="134" t="s">
        <v>1779</v>
      </c>
      <c r="D12" s="134" t="s">
        <v>1780</v>
      </c>
      <c r="E12" s="134" t="s">
        <v>1782</v>
      </c>
      <c r="F12" s="135">
        <v>154275.84</v>
      </c>
      <c r="G12" s="135">
        <v>143476.5312</v>
      </c>
      <c r="H12" s="135">
        <f t="shared" si="0"/>
        <v>10799.308799999999</v>
      </c>
      <c r="I12" s="136">
        <v>0.65</v>
      </c>
      <c r="J12" s="137">
        <v>9</v>
      </c>
    </row>
    <row r="13" spans="1:10" ht="18" customHeight="1">
      <c r="B13" s="134" t="s">
        <v>1771</v>
      </c>
      <c r="C13" s="134" t="s">
        <v>1779</v>
      </c>
      <c r="D13" s="134" t="s">
        <v>1780</v>
      </c>
      <c r="E13" s="134" t="s">
        <v>1781</v>
      </c>
      <c r="F13" s="135">
        <v>113923.584</v>
      </c>
      <c r="G13" s="135">
        <v>93417.338879999996</v>
      </c>
      <c r="H13" s="135">
        <f t="shared" si="0"/>
        <v>20506.245120000007</v>
      </c>
      <c r="I13" s="136">
        <v>0.255</v>
      </c>
      <c r="J13" s="137">
        <v>6</v>
      </c>
    </row>
    <row r="14" spans="1:10" ht="18" customHeight="1">
      <c r="B14" s="134" t="s">
        <v>1771</v>
      </c>
      <c r="C14" s="134" t="s">
        <v>1779</v>
      </c>
      <c r="D14" s="134" t="s">
        <v>1783</v>
      </c>
      <c r="E14" s="134" t="s">
        <v>1782</v>
      </c>
      <c r="F14" s="135">
        <v>94936.320000000007</v>
      </c>
      <c r="G14" s="135">
        <v>77847.782399999996</v>
      </c>
      <c r="H14" s="135">
        <f t="shared" si="0"/>
        <v>17088.537600000011</v>
      </c>
      <c r="I14" s="136">
        <v>0.315</v>
      </c>
      <c r="J14" s="137">
        <v>9</v>
      </c>
    </row>
    <row r="15" spans="1:10" ht="18" customHeight="1">
      <c r="B15" s="134" t="s">
        <v>1771</v>
      </c>
      <c r="C15" s="134" t="s">
        <v>1779</v>
      </c>
      <c r="D15" s="134" t="s">
        <v>1783</v>
      </c>
      <c r="E15" s="134" t="s">
        <v>1781</v>
      </c>
      <c r="F15" s="135">
        <v>90305.279999999999</v>
      </c>
      <c r="G15" s="135">
        <v>70438.118399999992</v>
      </c>
      <c r="H15" s="135">
        <f t="shared" si="0"/>
        <v>19867.161600000007</v>
      </c>
      <c r="I15" s="136">
        <v>0.255</v>
      </c>
      <c r="J15" s="137"/>
    </row>
    <row r="16" spans="1:10" ht="18" customHeight="1">
      <c r="B16" s="134" t="s">
        <v>1771</v>
      </c>
      <c r="C16" s="134" t="s">
        <v>1779</v>
      </c>
      <c r="D16" s="134" t="s">
        <v>1783</v>
      </c>
      <c r="E16" s="134" t="s">
        <v>1782</v>
      </c>
      <c r="F16" s="135">
        <v>394275.84000000003</v>
      </c>
      <c r="G16" s="135">
        <v>366676.53120000003</v>
      </c>
      <c r="H16" s="135">
        <f t="shared" si="0"/>
        <v>27599.308799999999</v>
      </c>
      <c r="I16" s="136">
        <v>0.154</v>
      </c>
      <c r="J16" s="137">
        <v>0</v>
      </c>
    </row>
    <row r="17" spans="2:10" ht="18" customHeight="1">
      <c r="B17" s="134" t="s">
        <v>1771</v>
      </c>
      <c r="C17" s="134" t="s">
        <v>1779</v>
      </c>
      <c r="D17" s="134" t="s">
        <v>1783</v>
      </c>
      <c r="E17" s="134" t="s">
        <v>1781</v>
      </c>
      <c r="F17" s="135">
        <v>116121.60000000001</v>
      </c>
      <c r="G17" s="135">
        <v>84768.767999999996</v>
      </c>
      <c r="H17" s="135">
        <f t="shared" si="0"/>
        <v>31352.832000000009</v>
      </c>
      <c r="I17" s="136">
        <v>0.13400000000000001</v>
      </c>
      <c r="J17" s="137">
        <v>3</v>
      </c>
    </row>
    <row r="18" spans="2:10" ht="18" customHeight="1">
      <c r="B18" s="134" t="s">
        <v>1771</v>
      </c>
      <c r="C18" s="134" t="s">
        <v>1779</v>
      </c>
      <c r="D18" s="134" t="s">
        <v>1784</v>
      </c>
      <c r="E18" s="134" t="s">
        <v>1781</v>
      </c>
      <c r="F18" s="135">
        <v>92620.800000000003</v>
      </c>
      <c r="G18" s="135">
        <v>82432.511999999988</v>
      </c>
      <c r="H18" s="135">
        <f t="shared" si="0"/>
        <v>10188.288000000015</v>
      </c>
      <c r="I18" s="136">
        <v>0.187</v>
      </c>
      <c r="J18" s="137">
        <v>3</v>
      </c>
    </row>
    <row r="19" spans="2:10" ht="18" customHeight="1">
      <c r="B19" s="134" t="s">
        <v>1771</v>
      </c>
      <c r="C19" s="134" t="s">
        <v>1779</v>
      </c>
      <c r="D19" s="134" t="s">
        <v>1784</v>
      </c>
      <c r="E19" s="134" t="s">
        <v>1782</v>
      </c>
      <c r="F19" s="135">
        <v>69465.600000000006</v>
      </c>
      <c r="G19" s="135">
        <v>66686.975999999995</v>
      </c>
      <c r="H19" s="135">
        <f t="shared" si="0"/>
        <v>2778.6240000000107</v>
      </c>
      <c r="I19" s="136">
        <v>0.54400000000000004</v>
      </c>
      <c r="J19" s="137">
        <v>9</v>
      </c>
    </row>
    <row r="20" spans="2:10" ht="18" customHeight="1">
      <c r="B20" s="134" t="s">
        <v>1771</v>
      </c>
      <c r="C20" s="134" t="s">
        <v>1779</v>
      </c>
      <c r="D20" s="134" t="s">
        <v>1784</v>
      </c>
      <c r="E20" s="134" t="s">
        <v>1781</v>
      </c>
      <c r="F20" s="135">
        <v>261004.79999999999</v>
      </c>
      <c r="G20" s="135">
        <v>221854.07999999999</v>
      </c>
      <c r="H20" s="135">
        <f t="shared" si="0"/>
        <v>39150.720000000001</v>
      </c>
      <c r="I20" s="136">
        <v>0.23300000000000001</v>
      </c>
      <c r="J20" s="137">
        <v>6</v>
      </c>
    </row>
    <row r="21" spans="2:10" ht="18" customHeight="1">
      <c r="B21" s="134" t="s">
        <v>1771</v>
      </c>
      <c r="C21" s="134" t="s">
        <v>1779</v>
      </c>
      <c r="D21" s="134" t="s">
        <v>1784</v>
      </c>
      <c r="E21" s="134" t="s">
        <v>1782</v>
      </c>
      <c r="F21" s="135">
        <v>57024</v>
      </c>
      <c r="G21" s="135">
        <v>54743.040000000001</v>
      </c>
      <c r="H21" s="135">
        <f t="shared" si="0"/>
        <v>2280.9599999999991</v>
      </c>
      <c r="I21" s="136">
        <v>0.56399999999999995</v>
      </c>
      <c r="J21" s="137">
        <v>8</v>
      </c>
    </row>
    <row r="22" spans="2:10" ht="18" customHeight="1">
      <c r="B22" s="134" t="s">
        <v>1785</v>
      </c>
      <c r="C22" s="134" t="s">
        <v>1786</v>
      </c>
      <c r="D22" s="134" t="s">
        <v>1787</v>
      </c>
      <c r="E22" s="134" t="s">
        <v>1782</v>
      </c>
      <c r="F22" s="135">
        <v>181988</v>
      </c>
      <c r="G22" s="135">
        <v>205646.44</v>
      </c>
      <c r="H22" s="135">
        <f t="shared" si="0"/>
        <v>-23658.440000000002</v>
      </c>
      <c r="I22" s="136">
        <v>0.432</v>
      </c>
      <c r="J22" s="137">
        <v>2</v>
      </c>
    </row>
    <row r="23" spans="2:10" ht="18" customHeight="1">
      <c r="B23" s="134" t="s">
        <v>1785</v>
      </c>
      <c r="C23" s="134" t="s">
        <v>1786</v>
      </c>
      <c r="D23" s="134" t="s">
        <v>1787</v>
      </c>
      <c r="E23" s="134" t="s">
        <v>1782</v>
      </c>
      <c r="F23" s="135">
        <v>121197.6</v>
      </c>
      <c r="G23" s="135">
        <v>112713.76800000001</v>
      </c>
      <c r="H23" s="135">
        <f t="shared" si="0"/>
        <v>8483.8319999999949</v>
      </c>
      <c r="I23" s="136">
        <v>0.154</v>
      </c>
      <c r="J23" s="137">
        <v>4</v>
      </c>
    </row>
    <row r="24" spans="2:10" ht="18" customHeight="1">
      <c r="B24" s="134" t="s">
        <v>1785</v>
      </c>
      <c r="C24" s="134" t="s">
        <v>1786</v>
      </c>
      <c r="D24" s="134" t="s">
        <v>1787</v>
      </c>
      <c r="E24" s="134" t="s">
        <v>1781</v>
      </c>
      <c r="F24" s="135">
        <v>432900</v>
      </c>
      <c r="G24" s="135">
        <v>367965</v>
      </c>
      <c r="H24" s="135">
        <f t="shared" si="0"/>
        <v>64935</v>
      </c>
      <c r="I24" s="136">
        <v>0.247</v>
      </c>
      <c r="J24" s="137">
        <v>2</v>
      </c>
    </row>
    <row r="25" spans="2:10" ht="18" customHeight="1">
      <c r="B25" s="134" t="s">
        <v>1785</v>
      </c>
      <c r="C25" s="134" t="s">
        <v>1786</v>
      </c>
      <c r="D25" s="134" t="s">
        <v>1787</v>
      </c>
      <c r="E25" s="134" t="s">
        <v>1781</v>
      </c>
      <c r="F25" s="135">
        <v>96768</v>
      </c>
      <c r="G25" s="135">
        <v>70640.639999999999</v>
      </c>
      <c r="H25" s="135">
        <f t="shared" si="0"/>
        <v>26127.360000000001</v>
      </c>
      <c r="I25" s="136">
        <v>0.318</v>
      </c>
      <c r="J25" s="137">
        <v>2</v>
      </c>
    </row>
    <row r="26" spans="2:10" ht="18" customHeight="1">
      <c r="B26" s="134" t="s">
        <v>1785</v>
      </c>
      <c r="C26" s="134" t="s">
        <v>1788</v>
      </c>
      <c r="D26" s="134" t="s">
        <v>1789</v>
      </c>
      <c r="E26" s="134" t="s">
        <v>1782</v>
      </c>
      <c r="F26" s="135">
        <v>121197.6</v>
      </c>
      <c r="G26" s="135">
        <v>112713.76800000001</v>
      </c>
      <c r="H26" s="135">
        <f t="shared" si="0"/>
        <v>8483.8319999999949</v>
      </c>
      <c r="I26" s="136">
        <v>0.45</v>
      </c>
      <c r="J26" s="137">
        <v>13</v>
      </c>
    </row>
    <row r="27" spans="2:10" ht="18" customHeight="1">
      <c r="B27" s="134" t="s">
        <v>1785</v>
      </c>
      <c r="C27" s="134" t="s">
        <v>1788</v>
      </c>
      <c r="D27" s="134" t="s">
        <v>1789</v>
      </c>
      <c r="E27" s="134" t="s">
        <v>1782</v>
      </c>
      <c r="F27" s="135">
        <v>121197.6</v>
      </c>
      <c r="G27" s="135">
        <v>112713.76800000001</v>
      </c>
      <c r="H27" s="135">
        <f t="shared" si="0"/>
        <v>8483.8319999999949</v>
      </c>
      <c r="I27" s="136">
        <v>0.23300000000000001</v>
      </c>
      <c r="J27" s="137"/>
    </row>
    <row r="28" spans="2:10" ht="18" customHeight="1">
      <c r="B28" s="134" t="s">
        <v>1785</v>
      </c>
      <c r="C28" s="134" t="s">
        <v>1788</v>
      </c>
      <c r="D28" s="134" t="s">
        <v>1789</v>
      </c>
      <c r="E28" s="134" t="s">
        <v>1782</v>
      </c>
      <c r="F28" s="135">
        <v>110772</v>
      </c>
      <c r="G28" s="135">
        <v>94156.2</v>
      </c>
      <c r="H28" s="135">
        <f t="shared" si="0"/>
        <v>16615.800000000003</v>
      </c>
      <c r="I28" s="136">
        <v>0.39800000000000002</v>
      </c>
      <c r="J28" s="137">
        <v>9</v>
      </c>
    </row>
    <row r="29" spans="2:10" ht="18" customHeight="1">
      <c r="B29" s="134" t="s">
        <v>1785</v>
      </c>
      <c r="C29" s="134" t="s">
        <v>1786</v>
      </c>
      <c r="D29" s="134" t="s">
        <v>1790</v>
      </c>
      <c r="E29" s="134" t="s">
        <v>1781</v>
      </c>
      <c r="F29" s="135">
        <v>128563.2</v>
      </c>
      <c r="G29" s="135">
        <v>119563.776</v>
      </c>
      <c r="H29" s="135">
        <f t="shared" si="0"/>
        <v>8999.4239999999991</v>
      </c>
      <c r="I29" s="136">
        <v>0.39800000000000002</v>
      </c>
      <c r="J29" s="137">
        <v>8</v>
      </c>
    </row>
    <row r="30" spans="2:10" ht="18" customHeight="1">
      <c r="B30" s="134" t="s">
        <v>1785</v>
      </c>
      <c r="C30" s="134" t="s">
        <v>1786</v>
      </c>
      <c r="D30" s="134" t="s">
        <v>1790</v>
      </c>
      <c r="E30" s="134" t="s">
        <v>1781</v>
      </c>
      <c r="F30" s="135">
        <v>128563.2</v>
      </c>
      <c r="G30" s="135">
        <v>119563.776</v>
      </c>
      <c r="H30" s="135">
        <f t="shared" si="0"/>
        <v>8999.4239999999991</v>
      </c>
      <c r="I30" s="136">
        <v>0.23300000000000001</v>
      </c>
      <c r="J30" s="137">
        <v>1</v>
      </c>
    </row>
    <row r="31" spans="2:10" ht="18" customHeight="1">
      <c r="B31" s="134" t="s">
        <v>1785</v>
      </c>
      <c r="C31" s="134" t="s">
        <v>1786</v>
      </c>
      <c r="D31" s="134" t="s">
        <v>1791</v>
      </c>
      <c r="E31" s="134" t="s">
        <v>1781</v>
      </c>
      <c r="F31" s="135">
        <v>76032</v>
      </c>
      <c r="G31" s="135">
        <v>75271.679999999993</v>
      </c>
      <c r="H31" s="135">
        <f t="shared" si="0"/>
        <v>760.32000000000698</v>
      </c>
      <c r="I31" s="136">
        <v>0.65</v>
      </c>
      <c r="J31" s="137">
        <v>0</v>
      </c>
    </row>
    <row r="32" spans="2:10" ht="18" customHeight="1">
      <c r="B32" s="134" t="s">
        <v>1785</v>
      </c>
      <c r="C32" s="134" t="s">
        <v>1788</v>
      </c>
      <c r="D32" s="134" t="s">
        <v>1792</v>
      </c>
      <c r="E32" s="134" t="s">
        <v>1782</v>
      </c>
      <c r="F32" s="135">
        <v>110772</v>
      </c>
      <c r="G32" s="135">
        <v>125172.36</v>
      </c>
      <c r="H32" s="135">
        <f t="shared" si="0"/>
        <v>-14400.36</v>
      </c>
      <c r="I32" s="136">
        <v>0.23300000000000001</v>
      </c>
      <c r="J32" s="137"/>
    </row>
    <row r="33" spans="2:10" ht="18" customHeight="1">
      <c r="B33" s="134" t="s">
        <v>1785</v>
      </c>
      <c r="C33" s="134" t="s">
        <v>1788</v>
      </c>
      <c r="D33" s="134" t="s">
        <v>1792</v>
      </c>
      <c r="E33" s="134" t="s">
        <v>1782</v>
      </c>
      <c r="F33" s="135">
        <v>110772</v>
      </c>
      <c r="G33" s="135">
        <v>125172.36</v>
      </c>
      <c r="H33" s="135">
        <f t="shared" si="0"/>
        <v>-14400.36</v>
      </c>
      <c r="I33" s="136">
        <v>0.318</v>
      </c>
      <c r="J33" s="137">
        <v>1</v>
      </c>
    </row>
    <row r="34" spans="2:10" ht="18" customHeight="1">
      <c r="B34" s="134" t="s">
        <v>1785</v>
      </c>
      <c r="C34" s="134" t="s">
        <v>1788</v>
      </c>
      <c r="D34" s="134" t="s">
        <v>1792</v>
      </c>
      <c r="E34" s="134" t="s">
        <v>1782</v>
      </c>
      <c r="F34" s="135">
        <v>91224</v>
      </c>
      <c r="G34" s="135">
        <v>66593.52</v>
      </c>
      <c r="H34" s="135">
        <f t="shared" si="0"/>
        <v>24630.479999999996</v>
      </c>
      <c r="I34" s="136">
        <v>0.65</v>
      </c>
      <c r="J34" s="137">
        <v>6</v>
      </c>
    </row>
    <row r="35" spans="2:10" ht="18" customHeight="1">
      <c r="B35" s="134" t="s">
        <v>1785</v>
      </c>
      <c r="C35" s="134" t="s">
        <v>1788</v>
      </c>
      <c r="D35" s="134" t="s">
        <v>1792</v>
      </c>
      <c r="E35" s="134" t="s">
        <v>1782</v>
      </c>
      <c r="F35" s="135">
        <v>91224</v>
      </c>
      <c r="G35" s="135">
        <v>127713.60000000001</v>
      </c>
      <c r="H35" s="135">
        <f t="shared" si="0"/>
        <v>-36489.600000000006</v>
      </c>
      <c r="I35" s="136">
        <v>0.247</v>
      </c>
      <c r="J35" s="137">
        <v>4</v>
      </c>
    </row>
    <row r="36" spans="2:10" ht="18" customHeight="1">
      <c r="B36" s="134" t="s">
        <v>1785</v>
      </c>
      <c r="C36" s="134" t="s">
        <v>1788</v>
      </c>
      <c r="D36" s="134" t="s">
        <v>1792</v>
      </c>
      <c r="E36" s="134" t="s">
        <v>1782</v>
      </c>
      <c r="F36" s="135">
        <v>71676</v>
      </c>
      <c r="G36" s="135">
        <v>70959.240000000005</v>
      </c>
      <c r="H36" s="135">
        <f t="shared" si="0"/>
        <v>716.75999999999476</v>
      </c>
      <c r="I36" s="136">
        <v>0.13400000000000001</v>
      </c>
      <c r="J36" s="137">
        <v>9</v>
      </c>
    </row>
    <row r="37" spans="2:10" ht="18" customHeight="1">
      <c r="B37" s="134" t="s">
        <v>1785</v>
      </c>
      <c r="C37" s="134" t="s">
        <v>1788</v>
      </c>
      <c r="D37" s="134" t="s">
        <v>1792</v>
      </c>
      <c r="E37" s="134" t="s">
        <v>1781</v>
      </c>
      <c r="F37" s="135">
        <v>217504</v>
      </c>
      <c r="G37" s="135">
        <v>184878.4</v>
      </c>
      <c r="H37" s="135">
        <f t="shared" si="0"/>
        <v>32625.600000000006</v>
      </c>
      <c r="I37" s="136">
        <v>0.23300000000000001</v>
      </c>
      <c r="J37" s="137">
        <v>9</v>
      </c>
    </row>
    <row r="38" spans="2:10" ht="18" customHeight="1">
      <c r="B38" s="134" t="s">
        <v>1785</v>
      </c>
      <c r="C38" s="134" t="s">
        <v>1788</v>
      </c>
      <c r="D38" s="134" t="s">
        <v>1792</v>
      </c>
      <c r="E38" s="134" t="s">
        <v>1781</v>
      </c>
      <c r="F38" s="135">
        <v>128563.2</v>
      </c>
      <c r="G38" s="135">
        <v>119563.776</v>
      </c>
      <c r="H38" s="135">
        <f t="shared" si="0"/>
        <v>8999.4239999999991</v>
      </c>
      <c r="I38" s="136">
        <v>0.154</v>
      </c>
      <c r="J38" s="137">
        <v>3</v>
      </c>
    </row>
    <row r="39" spans="2:10" ht="18" customHeight="1">
      <c r="B39" s="134" t="s">
        <v>1793</v>
      </c>
      <c r="C39" s="134" t="s">
        <v>1779</v>
      </c>
      <c r="D39" s="134" t="s">
        <v>1780</v>
      </c>
      <c r="E39" s="134" t="s">
        <v>1794</v>
      </c>
      <c r="F39" s="135">
        <v>94936.320000000007</v>
      </c>
      <c r="G39" s="135">
        <v>77847.782399999996</v>
      </c>
      <c r="H39" s="135">
        <f t="shared" si="0"/>
        <v>17088.537600000011</v>
      </c>
      <c r="I39" s="136">
        <v>0.56399999999999995</v>
      </c>
      <c r="J39" s="137">
        <v>8</v>
      </c>
    </row>
    <row r="40" spans="2:10" ht="18" customHeight="1">
      <c r="B40" s="134" t="s">
        <v>1793</v>
      </c>
      <c r="C40" s="134" t="s">
        <v>1779</v>
      </c>
      <c r="D40" s="134" t="s">
        <v>1780</v>
      </c>
      <c r="E40" s="134" t="s">
        <v>1795</v>
      </c>
      <c r="F40" s="135">
        <v>90305.279999999999</v>
      </c>
      <c r="G40" s="135">
        <v>70438.118399999992</v>
      </c>
      <c r="H40" s="135">
        <f t="shared" si="0"/>
        <v>19867.161600000007</v>
      </c>
      <c r="I40" s="138">
        <v>0.26500000000000001</v>
      </c>
      <c r="J40" s="137">
        <v>2</v>
      </c>
    </row>
    <row r="41" spans="2:10" ht="18" customHeight="1">
      <c r="B41" s="134" t="s">
        <v>1793</v>
      </c>
      <c r="C41" s="134" t="s">
        <v>1779</v>
      </c>
      <c r="D41" s="134" t="s">
        <v>1780</v>
      </c>
      <c r="E41" s="134" t="s">
        <v>1794</v>
      </c>
      <c r="F41" s="135">
        <v>519480</v>
      </c>
      <c r="G41" s="135">
        <v>441558</v>
      </c>
      <c r="H41" s="135">
        <f t="shared" si="0"/>
        <v>77922</v>
      </c>
      <c r="I41" s="136">
        <v>0.39800000000000002</v>
      </c>
      <c r="J41" s="137">
        <v>6</v>
      </c>
    </row>
    <row r="42" spans="2:10" ht="18" customHeight="1">
      <c r="B42" s="134" t="s">
        <v>1793</v>
      </c>
      <c r="C42" s="134" t="s">
        <v>1779</v>
      </c>
      <c r="D42" s="134" t="s">
        <v>1780</v>
      </c>
      <c r="E42" s="134" t="s">
        <v>1795</v>
      </c>
      <c r="F42" s="135">
        <v>91238.399999999994</v>
      </c>
      <c r="G42" s="135">
        <v>90326.015999999989</v>
      </c>
      <c r="H42" s="135">
        <f t="shared" si="0"/>
        <v>912.38400000000547</v>
      </c>
      <c r="I42" s="136">
        <v>0.315</v>
      </c>
      <c r="J42" s="137">
        <v>9</v>
      </c>
    </row>
    <row r="43" spans="2:10" ht="18" customHeight="1">
      <c r="B43" s="134" t="s">
        <v>1793</v>
      </c>
      <c r="C43" s="134" t="s">
        <v>1779</v>
      </c>
      <c r="D43" s="134" t="s">
        <v>1783</v>
      </c>
      <c r="E43" s="134" t="s">
        <v>1795</v>
      </c>
      <c r="F43" s="135">
        <v>92620.800000000003</v>
      </c>
      <c r="G43" s="135">
        <v>104661.504</v>
      </c>
      <c r="H43" s="135">
        <f t="shared" si="0"/>
        <v>-12040.703999999998</v>
      </c>
      <c r="I43" s="136">
        <v>0.255</v>
      </c>
      <c r="J43" s="137">
        <v>9</v>
      </c>
    </row>
    <row r="44" spans="2:10" ht="18" customHeight="1">
      <c r="B44" s="134" t="s">
        <v>1793</v>
      </c>
      <c r="C44" s="134" t="s">
        <v>1779</v>
      </c>
      <c r="D44" s="134" t="s">
        <v>1783</v>
      </c>
      <c r="E44" s="134" t="s">
        <v>1794</v>
      </c>
      <c r="F44" s="135">
        <v>69465.600000000006</v>
      </c>
      <c r="G44" s="135">
        <v>66686.975999999995</v>
      </c>
      <c r="H44" s="135">
        <f t="shared" si="0"/>
        <v>2778.6240000000107</v>
      </c>
      <c r="I44" s="136">
        <v>0.56399999999999995</v>
      </c>
      <c r="J44" s="137">
        <v>8</v>
      </c>
    </row>
    <row r="45" spans="2:10" ht="18" customHeight="1">
      <c r="B45" s="134" t="s">
        <v>1793</v>
      </c>
      <c r="C45" s="134" t="s">
        <v>1779</v>
      </c>
      <c r="D45" s="134" t="s">
        <v>1783</v>
      </c>
      <c r="E45" s="134" t="s">
        <v>1795</v>
      </c>
      <c r="F45" s="135">
        <v>154275.84</v>
      </c>
      <c r="G45" s="135">
        <v>143476.5312</v>
      </c>
      <c r="H45" s="135">
        <f t="shared" si="0"/>
        <v>10799.308799999999</v>
      </c>
      <c r="I45" s="136">
        <v>0.318</v>
      </c>
      <c r="J45" s="137">
        <v>4</v>
      </c>
    </row>
    <row r="46" spans="2:10" ht="18" customHeight="1">
      <c r="B46" s="134" t="s">
        <v>1793</v>
      </c>
      <c r="C46" s="134" t="s">
        <v>1779</v>
      </c>
      <c r="D46" s="134" t="s">
        <v>1783</v>
      </c>
      <c r="E46" s="134" t="s">
        <v>1794</v>
      </c>
      <c r="F46" s="135">
        <v>113923.584</v>
      </c>
      <c r="G46" s="135">
        <v>93417.338879999996</v>
      </c>
      <c r="H46" s="135">
        <f t="shared" si="0"/>
        <v>20506.245120000007</v>
      </c>
      <c r="I46" s="136">
        <v>0.187</v>
      </c>
      <c r="J46" s="137">
        <v>5</v>
      </c>
    </row>
    <row r="47" spans="2:10" ht="18" customHeight="1">
      <c r="B47" s="134" t="s">
        <v>1793</v>
      </c>
      <c r="C47" s="134" t="s">
        <v>1779</v>
      </c>
      <c r="D47" s="134" t="s">
        <v>1784</v>
      </c>
      <c r="E47" s="134" t="s">
        <v>1795</v>
      </c>
      <c r="F47" s="135">
        <v>94936.320000000007</v>
      </c>
      <c r="G47" s="135">
        <v>77847.782399999996</v>
      </c>
      <c r="H47" s="135">
        <f t="shared" si="0"/>
        <v>17088.537600000011</v>
      </c>
      <c r="I47" s="136">
        <v>0.13400000000000001</v>
      </c>
      <c r="J47" s="137">
        <v>4</v>
      </c>
    </row>
    <row r="48" spans="2:10" ht="18" customHeight="1">
      <c r="B48" s="134" t="s">
        <v>1793</v>
      </c>
      <c r="C48" s="134" t="s">
        <v>1779</v>
      </c>
      <c r="D48" s="134" t="s">
        <v>1784</v>
      </c>
      <c r="E48" s="134" t="s">
        <v>1794</v>
      </c>
      <c r="F48" s="135">
        <v>91463.039999999994</v>
      </c>
      <c r="G48" s="135">
        <v>72255.801599999992</v>
      </c>
      <c r="H48" s="135">
        <f t="shared" si="0"/>
        <v>19207.238400000002</v>
      </c>
      <c r="I48" s="136">
        <v>0.27600000000000002</v>
      </c>
      <c r="J48" s="137">
        <v>5</v>
      </c>
    </row>
    <row r="49" spans="2:10" ht="18" customHeight="1">
      <c r="B49" s="134" t="s">
        <v>1793</v>
      </c>
      <c r="C49" s="134" t="s">
        <v>1779</v>
      </c>
      <c r="D49" s="134" t="s">
        <v>1784</v>
      </c>
      <c r="E49" s="134" t="s">
        <v>1795</v>
      </c>
      <c r="F49" s="135">
        <v>1447185.6</v>
      </c>
      <c r="G49" s="135">
        <v>1287995.1840000001</v>
      </c>
      <c r="H49" s="135">
        <f t="shared" si="0"/>
        <v>159190.41599999997</v>
      </c>
      <c r="I49" s="136">
        <v>0.23300000000000001</v>
      </c>
      <c r="J49" s="137">
        <v>9</v>
      </c>
    </row>
    <row r="50" spans="2:10" ht="18" customHeight="1">
      <c r="B50" s="134" t="s">
        <v>1793</v>
      </c>
      <c r="C50" s="134" t="s">
        <v>1779</v>
      </c>
      <c r="D50" s="134" t="s">
        <v>1784</v>
      </c>
      <c r="E50" s="134" t="s">
        <v>1794</v>
      </c>
      <c r="F50" s="135">
        <v>154275.84</v>
      </c>
      <c r="G50" s="135">
        <v>143476.5312</v>
      </c>
      <c r="H50" s="135">
        <f t="shared" si="0"/>
        <v>10799.308799999999</v>
      </c>
      <c r="I50" s="136">
        <v>0.247</v>
      </c>
      <c r="J50" s="137">
        <v>8</v>
      </c>
    </row>
    <row r="51" spans="2:10" ht="18" customHeight="1">
      <c r="B51" s="134" t="s">
        <v>1793</v>
      </c>
      <c r="C51" s="134" t="s">
        <v>1779</v>
      </c>
      <c r="D51" s="134" t="s">
        <v>1784</v>
      </c>
      <c r="E51" s="134" t="s">
        <v>1795</v>
      </c>
      <c r="F51" s="135">
        <v>113923.584</v>
      </c>
      <c r="G51" s="135">
        <v>93417.338879999996</v>
      </c>
      <c r="H51" s="135">
        <f t="shared" si="0"/>
        <v>20506.245120000007</v>
      </c>
      <c r="I51" s="136">
        <v>0.35599999999999998</v>
      </c>
      <c r="J51" s="137">
        <v>2</v>
      </c>
    </row>
    <row r="52" spans="2:10" ht="18" customHeight="1">
      <c r="B52" s="134" t="s">
        <v>1796</v>
      </c>
      <c r="C52" s="134" t="s">
        <v>1786</v>
      </c>
      <c r="D52" s="134" t="s">
        <v>1787</v>
      </c>
      <c r="E52" s="134" t="s">
        <v>1781</v>
      </c>
      <c r="F52" s="135">
        <v>1205988</v>
      </c>
      <c r="G52" s="135">
        <v>1073329.32</v>
      </c>
      <c r="H52" s="135">
        <f t="shared" si="0"/>
        <v>132658.67999999993</v>
      </c>
      <c r="I52" s="136">
        <v>0.432</v>
      </c>
      <c r="J52" s="137">
        <v>10</v>
      </c>
    </row>
    <row r="53" spans="2:10" ht="18" customHeight="1">
      <c r="B53" s="134" t="s">
        <v>1796</v>
      </c>
      <c r="C53" s="134" t="s">
        <v>1786</v>
      </c>
      <c r="D53" s="134" t="s">
        <v>1787</v>
      </c>
      <c r="E53" s="134" t="s">
        <v>1781</v>
      </c>
      <c r="F53" s="135">
        <f>128563.2+200000</f>
        <v>328563.20000000001</v>
      </c>
      <c r="G53" s="135">
        <v>305563.77600000001</v>
      </c>
      <c r="H53" s="135">
        <f t="shared" si="0"/>
        <v>22999.423999999999</v>
      </c>
      <c r="I53" s="138">
        <v>0.39800000000000002</v>
      </c>
      <c r="J53" s="137">
        <v>3</v>
      </c>
    </row>
    <row r="54" spans="2:10" ht="18" customHeight="1">
      <c r="B54" s="134" t="s">
        <v>1797</v>
      </c>
      <c r="C54" s="134" t="s">
        <v>1786</v>
      </c>
      <c r="D54" s="134" t="s">
        <v>1787</v>
      </c>
      <c r="E54" s="134" t="s">
        <v>1782</v>
      </c>
      <c r="F54" s="135">
        <v>71676</v>
      </c>
      <c r="G54" s="135">
        <v>70959.240000000005</v>
      </c>
      <c r="H54" s="135">
        <f t="shared" si="0"/>
        <v>716.75999999999476</v>
      </c>
      <c r="I54" s="136">
        <v>0.53300000000000003</v>
      </c>
      <c r="J54" s="137">
        <v>1</v>
      </c>
    </row>
    <row r="55" spans="2:10" ht="18" customHeight="1">
      <c r="B55" s="134" t="s">
        <v>1797</v>
      </c>
      <c r="C55" s="134" t="s">
        <v>1786</v>
      </c>
      <c r="D55" s="134" t="s">
        <v>1787</v>
      </c>
      <c r="E55" s="134" t="s">
        <v>1794</v>
      </c>
      <c r="F55" s="135">
        <v>51480</v>
      </c>
      <c r="G55" s="135">
        <v>58172.4</v>
      </c>
      <c r="H55" s="135">
        <f t="shared" si="0"/>
        <v>-6692.4000000000015</v>
      </c>
      <c r="I55" s="138">
        <v>0.26500000000000001</v>
      </c>
      <c r="J55" s="137">
        <v>9</v>
      </c>
    </row>
    <row r="56" spans="2:10" ht="18" customHeight="1">
      <c r="B56" s="134" t="s">
        <v>1797</v>
      </c>
      <c r="C56" s="134" t="s">
        <v>1786</v>
      </c>
      <c r="D56" s="134" t="s">
        <v>1787</v>
      </c>
      <c r="E56" s="134" t="s">
        <v>1794</v>
      </c>
      <c r="F56" s="135">
        <v>39600</v>
      </c>
      <c r="G56" s="135">
        <v>38016</v>
      </c>
      <c r="H56" s="135">
        <f t="shared" si="0"/>
        <v>1584</v>
      </c>
      <c r="I56" s="136">
        <v>0.56399999999999995</v>
      </c>
      <c r="J56" s="137">
        <v>2</v>
      </c>
    </row>
    <row r="57" spans="2:10" ht="18" customHeight="1">
      <c r="B57" s="134" t="s">
        <v>1797</v>
      </c>
      <c r="C57" s="134" t="s">
        <v>1786</v>
      </c>
      <c r="D57" s="134" t="s">
        <v>1787</v>
      </c>
      <c r="E57" s="134" t="s">
        <v>1795</v>
      </c>
      <c r="F57" s="135">
        <v>79113.600000000006</v>
      </c>
      <c r="G57" s="135">
        <v>64873.152000000002</v>
      </c>
      <c r="H57" s="135">
        <f t="shared" si="0"/>
        <v>14240.448000000004</v>
      </c>
      <c r="I57" s="136">
        <v>0.27600000000000002</v>
      </c>
      <c r="J57" s="137">
        <v>0</v>
      </c>
    </row>
    <row r="58" spans="2:10" ht="18" customHeight="1">
      <c r="B58" s="134" t="s">
        <v>1797</v>
      </c>
      <c r="C58" s="134" t="s">
        <v>1786</v>
      </c>
      <c r="D58" s="134" t="s">
        <v>1787</v>
      </c>
      <c r="E58" s="134" t="s">
        <v>1795</v>
      </c>
      <c r="F58" s="135">
        <v>79113.600000000006</v>
      </c>
      <c r="G58" s="135">
        <v>64873.152000000002</v>
      </c>
      <c r="H58" s="135">
        <f t="shared" si="0"/>
        <v>14240.448000000004</v>
      </c>
      <c r="I58" s="136">
        <v>0.54400000000000004</v>
      </c>
      <c r="J58" s="137">
        <v>6</v>
      </c>
    </row>
    <row r="59" spans="2:10" ht="18" customHeight="1">
      <c r="B59" s="134" t="s">
        <v>1797</v>
      </c>
      <c r="C59" s="134" t="s">
        <v>1786</v>
      </c>
      <c r="D59" s="134" t="s">
        <v>1787</v>
      </c>
      <c r="E59" s="134" t="s">
        <v>1795</v>
      </c>
      <c r="F59" s="135">
        <v>57888</v>
      </c>
      <c r="G59" s="135">
        <v>55572.480000000003</v>
      </c>
      <c r="H59" s="135">
        <f t="shared" si="0"/>
        <v>2315.5199999999968</v>
      </c>
      <c r="I59" s="136">
        <v>0.315</v>
      </c>
      <c r="J59" s="137">
        <v>5</v>
      </c>
    </row>
    <row r="60" spans="2:10" ht="18" customHeight="1">
      <c r="B60" s="134" t="s">
        <v>1797</v>
      </c>
      <c r="C60" s="134" t="s">
        <v>1786</v>
      </c>
      <c r="D60" s="134" t="s">
        <v>1787</v>
      </c>
      <c r="E60" s="134" t="s">
        <v>1795</v>
      </c>
      <c r="F60" s="135">
        <v>57888</v>
      </c>
      <c r="G60" s="135">
        <v>55572.480000000003</v>
      </c>
      <c r="H60" s="135">
        <f t="shared" si="0"/>
        <v>2315.5199999999968</v>
      </c>
      <c r="I60" s="136">
        <v>0.187</v>
      </c>
      <c r="J60" s="137">
        <v>3</v>
      </c>
    </row>
    <row r="61" spans="2:10" ht="18" customHeight="1">
      <c r="B61" s="134" t="s">
        <v>1797</v>
      </c>
      <c r="C61" s="134" t="s">
        <v>1788</v>
      </c>
      <c r="D61" s="134" t="s">
        <v>1789</v>
      </c>
      <c r="E61" s="134" t="s">
        <v>1794</v>
      </c>
      <c r="F61" s="135">
        <v>52800</v>
      </c>
      <c r="G61" s="135">
        <v>59664</v>
      </c>
      <c r="H61" s="135">
        <f t="shared" si="0"/>
        <v>-6864</v>
      </c>
      <c r="I61" s="136">
        <v>0.255</v>
      </c>
      <c r="J61" s="137">
        <v>8</v>
      </c>
    </row>
    <row r="62" spans="2:10" ht="18" customHeight="1">
      <c r="B62" s="134" t="s">
        <v>1797</v>
      </c>
      <c r="C62" s="134" t="s">
        <v>1788</v>
      </c>
      <c r="D62" s="134" t="s">
        <v>1789</v>
      </c>
      <c r="E62" s="134" t="s">
        <v>1794</v>
      </c>
      <c r="F62" s="135">
        <v>52140</v>
      </c>
      <c r="G62" s="135">
        <v>41190.6</v>
      </c>
      <c r="H62" s="135">
        <f t="shared" si="0"/>
        <v>10949.400000000001</v>
      </c>
      <c r="I62" s="136">
        <v>0.35599999999999998</v>
      </c>
      <c r="J62" s="137">
        <v>5</v>
      </c>
    </row>
    <row r="63" spans="2:10" ht="18" customHeight="1">
      <c r="B63" s="134" t="s">
        <v>1797</v>
      </c>
      <c r="C63" s="134" t="s">
        <v>1788</v>
      </c>
      <c r="D63" s="134" t="s">
        <v>1789</v>
      </c>
      <c r="E63" s="134" t="s">
        <v>1794</v>
      </c>
      <c r="F63" s="135">
        <v>52140</v>
      </c>
      <c r="G63" s="135">
        <v>41190.6</v>
      </c>
      <c r="H63" s="135">
        <f t="shared" si="0"/>
        <v>10949.400000000001</v>
      </c>
      <c r="I63" s="136">
        <v>0.27600000000000002</v>
      </c>
      <c r="J63" s="137">
        <v>6</v>
      </c>
    </row>
    <row r="64" spans="2:10" ht="18" customHeight="1">
      <c r="B64" s="134" t="s">
        <v>1797</v>
      </c>
      <c r="C64" s="134" t="s">
        <v>1788</v>
      </c>
      <c r="D64" s="134" t="s">
        <v>1789</v>
      </c>
      <c r="E64" s="134" t="s">
        <v>1795</v>
      </c>
      <c r="F64" s="135">
        <v>77184</v>
      </c>
      <c r="G64" s="135">
        <v>68693.759999999995</v>
      </c>
      <c r="H64" s="135">
        <f t="shared" si="0"/>
        <v>8490.2400000000052</v>
      </c>
      <c r="I64" s="136">
        <v>0.255</v>
      </c>
      <c r="J64" s="137">
        <v>5</v>
      </c>
    </row>
    <row r="65" spans="2:10" ht="18" customHeight="1">
      <c r="B65" s="134" t="s">
        <v>1797</v>
      </c>
      <c r="C65" s="134" t="s">
        <v>1788</v>
      </c>
      <c r="D65" s="134" t="s">
        <v>1789</v>
      </c>
      <c r="E65" s="134" t="s">
        <v>1795</v>
      </c>
      <c r="F65" s="135">
        <v>77184</v>
      </c>
      <c r="G65" s="135">
        <v>87217.919999999998</v>
      </c>
      <c r="H65" s="135">
        <f t="shared" si="0"/>
        <v>-10033.919999999998</v>
      </c>
      <c r="I65" s="136">
        <v>0.56399999999999995</v>
      </c>
      <c r="J65" s="137">
        <v>5</v>
      </c>
    </row>
    <row r="66" spans="2:10" ht="18" customHeight="1">
      <c r="B66" s="134" t="s">
        <v>1797</v>
      </c>
      <c r="C66" s="134" t="s">
        <v>1788</v>
      </c>
      <c r="D66" s="134" t="s">
        <v>1789</v>
      </c>
      <c r="E66" s="134" t="s">
        <v>1795</v>
      </c>
      <c r="F66" s="135">
        <v>76219.199999999997</v>
      </c>
      <c r="G66" s="135">
        <v>60213.167999999998</v>
      </c>
      <c r="H66" s="135">
        <f t="shared" si="0"/>
        <v>16006.031999999999</v>
      </c>
      <c r="I66" s="136">
        <v>0.54400000000000004</v>
      </c>
      <c r="J66" s="137">
        <v>1</v>
      </c>
    </row>
    <row r="67" spans="2:10" ht="18" customHeight="1">
      <c r="B67" s="134" t="s">
        <v>1797</v>
      </c>
      <c r="C67" s="134" t="s">
        <v>1788</v>
      </c>
      <c r="D67" s="134" t="s">
        <v>1789</v>
      </c>
      <c r="E67" s="134" t="s">
        <v>1795</v>
      </c>
      <c r="F67" s="135">
        <v>75254.399999999994</v>
      </c>
      <c r="G67" s="135">
        <v>58698.432000000001</v>
      </c>
      <c r="H67" s="135">
        <f t="shared" si="0"/>
        <v>16555.967999999993</v>
      </c>
      <c r="I67" s="136">
        <v>0.255</v>
      </c>
      <c r="J67" s="137">
        <v>9</v>
      </c>
    </row>
    <row r="68" spans="2:10" ht="18" customHeight="1">
      <c r="B68" s="134" t="s">
        <v>1797</v>
      </c>
      <c r="C68" s="134" t="s">
        <v>1786</v>
      </c>
      <c r="D68" s="134" t="s">
        <v>1790</v>
      </c>
      <c r="E68" s="134" t="s">
        <v>1794</v>
      </c>
      <c r="F68" s="135">
        <v>52800</v>
      </c>
      <c r="G68" s="135">
        <v>46992</v>
      </c>
      <c r="H68" s="135">
        <f t="shared" si="0"/>
        <v>5808</v>
      </c>
      <c r="I68" s="136">
        <v>0.187</v>
      </c>
      <c r="J68" s="137">
        <v>9</v>
      </c>
    </row>
    <row r="69" spans="2:10" ht="18" customHeight="1">
      <c r="B69" s="134" t="s">
        <v>1797</v>
      </c>
      <c r="C69" s="134" t="s">
        <v>1786</v>
      </c>
      <c r="D69" s="134" t="s">
        <v>1790</v>
      </c>
      <c r="E69" s="134" t="s">
        <v>1795</v>
      </c>
      <c r="F69" s="135">
        <v>76219.199999999997</v>
      </c>
      <c r="G69" s="135">
        <v>60213.167999999998</v>
      </c>
      <c r="H69" s="135">
        <f t="shared" si="0"/>
        <v>16006.031999999999</v>
      </c>
      <c r="I69" s="136">
        <v>0.26500000000000001</v>
      </c>
      <c r="J69" s="137">
        <v>7</v>
      </c>
    </row>
    <row r="70" spans="2:10" ht="18" customHeight="1">
      <c r="B70" s="134" t="s">
        <v>1797</v>
      </c>
      <c r="C70" s="134" t="s">
        <v>1786</v>
      </c>
      <c r="D70" s="134" t="s">
        <v>1790</v>
      </c>
      <c r="E70" s="134" t="s">
        <v>1795</v>
      </c>
      <c r="F70" s="135">
        <v>75254.399999999994</v>
      </c>
      <c r="G70" s="135">
        <v>58698.432000000001</v>
      </c>
      <c r="H70" s="135">
        <f t="shared" si="0"/>
        <v>16555.967999999993</v>
      </c>
      <c r="I70" s="136">
        <v>0.35599999999999998</v>
      </c>
      <c r="J70" s="137">
        <v>5</v>
      </c>
    </row>
    <row r="71" spans="2:10" ht="18" customHeight="1">
      <c r="B71" s="134" t="s">
        <v>1797</v>
      </c>
      <c r="C71" s="134" t="s">
        <v>1786</v>
      </c>
      <c r="D71" s="134" t="s">
        <v>1790</v>
      </c>
      <c r="E71" s="134" t="s">
        <v>1781</v>
      </c>
      <c r="F71" s="135">
        <v>296700</v>
      </c>
      <c r="G71" s="135">
        <v>216591</v>
      </c>
      <c r="H71" s="135">
        <f t="shared" si="0"/>
        <v>80109</v>
      </c>
      <c r="I71" s="136">
        <v>0.23300000000000001</v>
      </c>
      <c r="J71" s="137">
        <v>1</v>
      </c>
    </row>
    <row r="72" spans="2:10" ht="18" customHeight="1">
      <c r="B72" s="134" t="s">
        <v>1797</v>
      </c>
      <c r="C72" s="134" t="s">
        <v>1788</v>
      </c>
      <c r="D72" s="134" t="s">
        <v>1792</v>
      </c>
      <c r="E72" s="134" t="s">
        <v>1794</v>
      </c>
      <c r="F72" s="135">
        <v>54120</v>
      </c>
      <c r="G72" s="135">
        <v>44378.400000000001</v>
      </c>
      <c r="H72" s="135">
        <f t="shared" si="0"/>
        <v>9741.5999999999985</v>
      </c>
      <c r="I72" s="136">
        <v>0.315</v>
      </c>
      <c r="J72" s="137">
        <v>8</v>
      </c>
    </row>
    <row r="73" spans="2:10" ht="18" customHeight="1">
      <c r="B73" s="134" t="s">
        <v>1797</v>
      </c>
      <c r="C73" s="134" t="s">
        <v>1788</v>
      </c>
      <c r="D73" s="134" t="s">
        <v>1792</v>
      </c>
      <c r="E73" s="134" t="s">
        <v>1794</v>
      </c>
      <c r="F73" s="135">
        <v>54120</v>
      </c>
      <c r="G73" s="135">
        <v>44378.400000000001</v>
      </c>
      <c r="H73" s="135">
        <f>F73-G73</f>
        <v>9741.5999999999985</v>
      </c>
      <c r="I73" s="136">
        <v>0.56399999999999995</v>
      </c>
      <c r="J73" s="137">
        <v>3</v>
      </c>
    </row>
    <row r="74" spans="2:10" ht="18" customHeight="1">
      <c r="B74" s="134" t="s">
        <v>1797</v>
      </c>
      <c r="C74" s="134" t="s">
        <v>1788</v>
      </c>
      <c r="D74" s="134" t="s">
        <v>1792</v>
      </c>
      <c r="E74" s="134" t="s">
        <v>1794</v>
      </c>
      <c r="F74" s="135">
        <v>51480</v>
      </c>
      <c r="G74" s="135">
        <v>40154.400000000001</v>
      </c>
      <c r="H74" s="135">
        <f>F74-G74</f>
        <v>11325.599999999999</v>
      </c>
      <c r="I74" s="136">
        <v>0.255</v>
      </c>
      <c r="J74" s="137">
        <v>2</v>
      </c>
    </row>
    <row r="75" spans="2:10" ht="18" customHeight="1">
      <c r="B75" s="134" t="s">
        <v>1797</v>
      </c>
      <c r="C75" s="134" t="s">
        <v>1788</v>
      </c>
      <c r="D75" s="134" t="s">
        <v>1792</v>
      </c>
      <c r="E75" s="134" t="s">
        <v>1794</v>
      </c>
      <c r="F75" s="135">
        <v>39600</v>
      </c>
      <c r="G75" s="135">
        <v>38016</v>
      </c>
      <c r="H75" s="135">
        <f>F75-G75</f>
        <v>1584</v>
      </c>
      <c r="I75" s="136">
        <v>0.54400000000000004</v>
      </c>
      <c r="J75" s="137">
        <v>8</v>
      </c>
    </row>
    <row r="76" spans="2:10" ht="18" customHeight="1">
      <c r="B76" s="134" t="s">
        <v>1797</v>
      </c>
      <c r="C76" s="134" t="s">
        <v>1788</v>
      </c>
      <c r="D76" s="134" t="s">
        <v>1792</v>
      </c>
      <c r="E76" s="134" t="s">
        <v>1795</v>
      </c>
      <c r="F76" s="135">
        <v>79113.600000000006</v>
      </c>
      <c r="G76" s="135">
        <v>64873.152000000002</v>
      </c>
      <c r="H76" s="135">
        <f>F76-G76</f>
        <v>14240.448000000004</v>
      </c>
      <c r="I76" s="136">
        <v>0.255</v>
      </c>
      <c r="J76" s="137">
        <v>9</v>
      </c>
    </row>
    <row r="77" spans="2:10" s="317" customFormat="1" ht="18" customHeight="1">
      <c r="B77" s="201"/>
      <c r="C77" s="201"/>
      <c r="D77" s="201"/>
      <c r="E77" s="201"/>
      <c r="F77" s="314"/>
      <c r="G77" s="314"/>
      <c r="H77" s="314"/>
      <c r="I77" s="315"/>
      <c r="J77" s="316"/>
    </row>
    <row r="78" spans="2:10" ht="15">
      <c r="B78" s="3"/>
    </row>
    <row r="79" spans="2:10" ht="15">
      <c r="B79" s="3"/>
    </row>
    <row r="80" spans="2:10" ht="15">
      <c r="B80" s="3"/>
    </row>
    <row r="81" spans="2:2" ht="15">
      <c r="B81" s="3"/>
    </row>
    <row r="82" spans="2:2" ht="15">
      <c r="B82" s="3"/>
    </row>
    <row r="83" spans="2:2" ht="15">
      <c r="B83" s="3"/>
    </row>
    <row r="84" spans="2:2" ht="15">
      <c r="B84" s="3"/>
    </row>
    <row r="85" spans="2:2" ht="15">
      <c r="B85" s="3"/>
    </row>
    <row r="86" spans="2:2" ht="15">
      <c r="B86" s="3"/>
    </row>
    <row r="87" spans="2:2" ht="15">
      <c r="B87" s="3"/>
    </row>
    <row r="88" spans="2:2" ht="15">
      <c r="B88" s="3"/>
    </row>
    <row r="89" spans="2:2" ht="15">
      <c r="B89" s="3"/>
    </row>
    <row r="90" spans="2:2" ht="15">
      <c r="B90" s="3"/>
    </row>
    <row r="91" spans="2:2" ht="15">
      <c r="B91" s="3"/>
    </row>
    <row r="92" spans="2:2" ht="15">
      <c r="B92" s="3"/>
    </row>
    <row r="93" spans="2:2" ht="15">
      <c r="B93" s="3"/>
    </row>
    <row r="94" spans="2:2" ht="15">
      <c r="B94" s="3"/>
    </row>
    <row r="95" spans="2:2" ht="15">
      <c r="B95" s="3"/>
    </row>
    <row r="96" spans="2:2" ht="15">
      <c r="B96" s="3"/>
    </row>
    <row r="97" spans="2:2" ht="15">
      <c r="B97" s="3"/>
    </row>
    <row r="98" spans="2:2" ht="15">
      <c r="B98" s="3"/>
    </row>
    <row r="99" spans="2:2" ht="15">
      <c r="B99" s="3"/>
    </row>
    <row r="100" spans="2:2" ht="15">
      <c r="B100" s="3"/>
    </row>
    <row r="101" spans="2:2" ht="15">
      <c r="B101" s="3"/>
    </row>
    <row r="102" spans="2:2" ht="15">
      <c r="B102" s="3"/>
    </row>
    <row r="103" spans="2:2" ht="15">
      <c r="B103" s="3"/>
    </row>
    <row r="104" spans="2:2" ht="15">
      <c r="B104" s="3"/>
    </row>
    <row r="105" spans="2:2" ht="15">
      <c r="B105" s="3"/>
    </row>
    <row r="106" spans="2:2" ht="15">
      <c r="B106" s="3"/>
    </row>
    <row r="107" spans="2:2" ht="15">
      <c r="B107" s="3"/>
    </row>
    <row r="108" spans="2:2" ht="15">
      <c r="B108" s="3"/>
    </row>
    <row r="109" spans="2:2" ht="15">
      <c r="B109" s="3"/>
    </row>
    <row r="110" spans="2:2" ht="15">
      <c r="B110" s="3"/>
    </row>
    <row r="111" spans="2:2" ht="15">
      <c r="B111" s="3"/>
    </row>
    <row r="112" spans="2:2" ht="15">
      <c r="B112" s="3"/>
    </row>
    <row r="113" spans="2:2" ht="15">
      <c r="B113" s="3"/>
    </row>
    <row r="114" spans="2:2" ht="15">
      <c r="B114" s="3"/>
    </row>
    <row r="115" spans="2:2" ht="15">
      <c r="B115" s="3"/>
    </row>
    <row r="116" spans="2:2" ht="15">
      <c r="B116" s="3"/>
    </row>
    <row r="117" spans="2:2" ht="15">
      <c r="B117" s="3"/>
    </row>
    <row r="118" spans="2:2" ht="15">
      <c r="B118" s="3"/>
    </row>
    <row r="119" spans="2:2" ht="15">
      <c r="B119" s="3"/>
    </row>
    <row r="120" spans="2:2" ht="15">
      <c r="B120" s="3"/>
    </row>
    <row r="121" spans="2:2" ht="15">
      <c r="B121" s="3"/>
    </row>
    <row r="122" spans="2:2" ht="15">
      <c r="B122" s="3"/>
    </row>
    <row r="123" spans="2:2" ht="15">
      <c r="B123" s="3"/>
    </row>
    <row r="124" spans="2:2" ht="15">
      <c r="B124" s="3"/>
    </row>
    <row r="125" spans="2:2" ht="15">
      <c r="B125" s="3"/>
    </row>
    <row r="126" spans="2:2" ht="15">
      <c r="B126" s="3"/>
    </row>
    <row r="127" spans="2:2" ht="15">
      <c r="B127" s="3"/>
    </row>
    <row r="128" spans="2:2" ht="15">
      <c r="B128" s="3"/>
    </row>
    <row r="129" spans="2:2" ht="15">
      <c r="B129" s="3"/>
    </row>
    <row r="130" spans="2:2" ht="15">
      <c r="B130" s="3"/>
    </row>
    <row r="131" spans="2:2" ht="15">
      <c r="B131" s="3"/>
    </row>
    <row r="132" spans="2:2" ht="15">
      <c r="B132" s="3"/>
    </row>
    <row r="133" spans="2:2" ht="15">
      <c r="B133" s="3"/>
    </row>
    <row r="134" spans="2:2" ht="15">
      <c r="B134" s="3"/>
    </row>
    <row r="135" spans="2:2" ht="15">
      <c r="B135" s="3"/>
    </row>
    <row r="136" spans="2:2" ht="15">
      <c r="B136" s="3"/>
    </row>
    <row r="137" spans="2:2" ht="15">
      <c r="B137" s="3"/>
    </row>
    <row r="138" spans="2:2" ht="15">
      <c r="B138" s="3"/>
    </row>
    <row r="139" spans="2:2" ht="15">
      <c r="B139" s="3"/>
    </row>
    <row r="140" spans="2:2" ht="15">
      <c r="B140" s="3"/>
    </row>
    <row r="141" spans="2:2" ht="15">
      <c r="B141" s="3"/>
    </row>
    <row r="142" spans="2:2" ht="15">
      <c r="B142" s="3"/>
    </row>
    <row r="143" spans="2:2" ht="15">
      <c r="B143" s="3"/>
    </row>
    <row r="144" spans="2:2" ht="15">
      <c r="B144" s="3"/>
    </row>
    <row r="145" spans="2:2" ht="15">
      <c r="B145" s="3"/>
    </row>
    <row r="146" spans="2:2" ht="15">
      <c r="B146" s="3"/>
    </row>
    <row r="147" spans="2:2" ht="15">
      <c r="B147" s="3"/>
    </row>
    <row r="148" spans="2:2" ht="15">
      <c r="B148" s="3"/>
    </row>
    <row r="149" spans="2:2" ht="15">
      <c r="B149" s="3"/>
    </row>
    <row r="150" spans="2:2" ht="15">
      <c r="B150" s="3"/>
    </row>
    <row r="151" spans="2:2" ht="15">
      <c r="B151" s="3"/>
    </row>
    <row r="152" spans="2:2" ht="15">
      <c r="B152" s="3"/>
    </row>
    <row r="153" spans="2:2" ht="15">
      <c r="B153" s="3"/>
    </row>
    <row r="154" spans="2:2" ht="15">
      <c r="B154" s="3"/>
    </row>
    <row r="155" spans="2:2" ht="15">
      <c r="B155" s="3"/>
    </row>
    <row r="156" spans="2:2" ht="15">
      <c r="B156" s="3"/>
    </row>
    <row r="157" spans="2:2" ht="15">
      <c r="B157" s="3"/>
    </row>
    <row r="158" spans="2:2" ht="15">
      <c r="B158" s="3"/>
    </row>
    <row r="159" spans="2:2" ht="15">
      <c r="B159" s="3"/>
    </row>
    <row r="160" spans="2:2" ht="15">
      <c r="B160" s="3"/>
    </row>
    <row r="161" spans="2:2" ht="15">
      <c r="B161" s="3"/>
    </row>
    <row r="162" spans="2:2" ht="15">
      <c r="B162" s="3"/>
    </row>
    <row r="163" spans="2:2" ht="15">
      <c r="B163" s="3"/>
    </row>
    <row r="164" spans="2:2" ht="15">
      <c r="B164" s="3"/>
    </row>
    <row r="165" spans="2:2" ht="15">
      <c r="B165" s="3"/>
    </row>
    <row r="166" spans="2:2" ht="15">
      <c r="B166" s="3"/>
    </row>
    <row r="167" spans="2:2" ht="15">
      <c r="B167" s="3"/>
    </row>
    <row r="168" spans="2:2" ht="15">
      <c r="B168" s="3"/>
    </row>
    <row r="169" spans="2:2" ht="15">
      <c r="B169" s="3"/>
    </row>
    <row r="170" spans="2:2" ht="15">
      <c r="B170" s="3"/>
    </row>
    <row r="171" spans="2:2" ht="15">
      <c r="B171" s="3"/>
    </row>
    <row r="172" spans="2:2" ht="15">
      <c r="B172" s="3"/>
    </row>
    <row r="173" spans="2:2" ht="15">
      <c r="B173" s="3"/>
    </row>
    <row r="174" spans="2:2" ht="15">
      <c r="B174" s="3"/>
    </row>
    <row r="175" spans="2:2" ht="15">
      <c r="B175" s="3"/>
    </row>
    <row r="176" spans="2:2" ht="15">
      <c r="B176" s="3"/>
    </row>
    <row r="177" spans="2:2" ht="15">
      <c r="B177" s="3"/>
    </row>
    <row r="178" spans="2:2" ht="15">
      <c r="B178" s="3"/>
    </row>
    <row r="179" spans="2:2" ht="15">
      <c r="B179" s="3"/>
    </row>
    <row r="180" spans="2:2" ht="15">
      <c r="B180" s="3"/>
    </row>
    <row r="181" spans="2:2" ht="15">
      <c r="B181" s="3"/>
    </row>
    <row r="182" spans="2:2" ht="15">
      <c r="B182" s="3"/>
    </row>
    <row r="183" spans="2:2" ht="15">
      <c r="B183" s="3"/>
    </row>
    <row r="184" spans="2:2" ht="15">
      <c r="B184" s="3"/>
    </row>
    <row r="185" spans="2:2" ht="15">
      <c r="B185" s="3"/>
    </row>
    <row r="186" spans="2:2" ht="15">
      <c r="B186" s="3"/>
    </row>
    <row r="187" spans="2:2" ht="15">
      <c r="B187" s="3"/>
    </row>
    <row r="188" spans="2:2" ht="15">
      <c r="B188" s="3"/>
    </row>
    <row r="189" spans="2:2" ht="15">
      <c r="B189" s="3"/>
    </row>
    <row r="190" spans="2:2" ht="15">
      <c r="B190" s="3"/>
    </row>
    <row r="191" spans="2:2" ht="15">
      <c r="B191" s="3"/>
    </row>
    <row r="192" spans="2:2" ht="15">
      <c r="B192" s="3"/>
    </row>
    <row r="193" spans="2:2" ht="15">
      <c r="B193" s="3"/>
    </row>
    <row r="194" spans="2:2" ht="15">
      <c r="B194" s="3"/>
    </row>
    <row r="195" spans="2:2" ht="15">
      <c r="B195" s="3"/>
    </row>
    <row r="196" spans="2:2" ht="15">
      <c r="B196" s="3"/>
    </row>
    <row r="197" spans="2:2" ht="15">
      <c r="B197" s="3"/>
    </row>
    <row r="198" spans="2:2" ht="15">
      <c r="B198" s="3"/>
    </row>
    <row r="199" spans="2:2" ht="15">
      <c r="B199" s="3"/>
    </row>
    <row r="200" spans="2:2" ht="15">
      <c r="B200" s="3"/>
    </row>
    <row r="201" spans="2:2" ht="15">
      <c r="B201" s="3"/>
    </row>
    <row r="202" spans="2:2" ht="15">
      <c r="B202" s="3"/>
    </row>
    <row r="203" spans="2:2" ht="15">
      <c r="B203" s="3"/>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dimension ref="A1:J204"/>
  <sheetViews>
    <sheetView showGridLines="0" workbookViewId="0">
      <selection activeCell="F4" sqref="F4"/>
    </sheetView>
  </sheetViews>
  <sheetFormatPr defaultRowHeight="26.25"/>
  <cols>
    <col min="1" max="1" width="3.42578125" style="3" customWidth="1"/>
    <col min="2" max="2" width="10.7109375" style="114" bestFit="1" customWidth="1"/>
    <col min="3" max="3" width="9.42578125" style="3" bestFit="1" customWidth="1"/>
    <col min="4" max="4" width="11.7109375" style="3" bestFit="1" customWidth="1"/>
    <col min="5" max="5" width="12.140625" style="3" bestFit="1" customWidth="1"/>
    <col min="6" max="7" width="13.85546875" style="3" bestFit="1" customWidth="1"/>
    <col min="8" max="8" width="12.140625" style="3" bestFit="1" customWidth="1"/>
    <col min="9" max="9" width="10.85546875" style="3" bestFit="1" customWidth="1"/>
    <col min="10" max="10" width="8.140625" style="3" bestFit="1" customWidth="1"/>
    <col min="11" max="26" width="10.28515625" style="3" customWidth="1"/>
    <col min="27" max="29" width="10" style="3" customWidth="1"/>
    <col min="30" max="16384" width="9.140625" style="3"/>
  </cols>
  <sheetData>
    <row r="1" spans="1:10">
      <c r="A1" s="288" t="s">
        <v>1804</v>
      </c>
      <c r="E1" s="637" t="s">
        <v>2056</v>
      </c>
      <c r="I1" s="114"/>
    </row>
    <row r="2" spans="1:10">
      <c r="A2" s="288"/>
      <c r="I2" s="114"/>
    </row>
    <row r="3" spans="1:10" ht="16.5" customHeight="1">
      <c r="A3" s="115"/>
      <c r="C3" s="177" t="s">
        <v>1800</v>
      </c>
      <c r="F3" s="297">
        <f>MAX(F8:F77)</f>
        <v>1447185.6</v>
      </c>
      <c r="G3" s="297">
        <f t="shared" ref="G3:J3" si="0">MAX(G8:G77)</f>
        <v>1443556</v>
      </c>
      <c r="H3" s="297">
        <f t="shared" si="0"/>
        <v>548108</v>
      </c>
      <c r="I3" s="298">
        <f t="shared" si="0"/>
        <v>0.754</v>
      </c>
      <c r="J3" s="297">
        <f t="shared" si="0"/>
        <v>13</v>
      </c>
    </row>
    <row r="4" spans="1:10" ht="16.5" customHeight="1">
      <c r="A4" s="19"/>
      <c r="B4" s="118"/>
      <c r="C4" s="289" t="s">
        <v>1802</v>
      </c>
      <c r="D4" s="290"/>
      <c r="E4" s="290"/>
      <c r="F4" s="291">
        <f>MIN(F10:F77)</f>
        <v>39600</v>
      </c>
      <c r="G4" s="291">
        <f t="shared" ref="G4:J4" si="1">MIN(G10:G77)</f>
        <v>38016</v>
      </c>
      <c r="H4" s="291">
        <f t="shared" si="1"/>
        <v>-924076</v>
      </c>
      <c r="I4" s="292">
        <f t="shared" si="1"/>
        <v>0.13400000000000001</v>
      </c>
      <c r="J4" s="291">
        <f t="shared" si="1"/>
        <v>0</v>
      </c>
    </row>
    <row r="6" spans="1:10" ht="18">
      <c r="B6" s="119" t="s">
        <v>1772</v>
      </c>
      <c r="C6" s="120"/>
      <c r="D6" s="120"/>
      <c r="E6" s="120"/>
      <c r="F6" s="121"/>
      <c r="G6" s="121"/>
      <c r="H6" s="121"/>
      <c r="I6" s="120"/>
      <c r="J6" s="122"/>
    </row>
    <row r="7" spans="1:10" ht="18">
      <c r="B7" s="276" t="s">
        <v>1799</v>
      </c>
      <c r="C7" s="124"/>
      <c r="D7" s="124"/>
      <c r="E7" s="124"/>
      <c r="F7" s="125"/>
      <c r="G7" s="125"/>
      <c r="H7" s="125"/>
      <c r="I7" s="124"/>
      <c r="J7" s="126"/>
    </row>
    <row r="8" spans="1:10" ht="18" hidden="1">
      <c r="B8" s="127"/>
      <c r="C8" s="128"/>
      <c r="D8" s="128"/>
      <c r="E8" s="128"/>
      <c r="F8" s="129"/>
      <c r="G8" s="129"/>
      <c r="H8" s="129"/>
      <c r="I8" s="128"/>
    </row>
    <row r="9" spans="1:10" s="142" customFormat="1" ht="39" customHeight="1" thickBot="1">
      <c r="B9" s="300" t="s">
        <v>1770</v>
      </c>
      <c r="C9" s="300" t="s">
        <v>176</v>
      </c>
      <c r="D9" s="300" t="s">
        <v>175</v>
      </c>
      <c r="E9" s="300" t="s">
        <v>264</v>
      </c>
      <c r="F9" s="301" t="s">
        <v>1774</v>
      </c>
      <c r="G9" s="301" t="s">
        <v>1775</v>
      </c>
      <c r="H9" s="302" t="s">
        <v>1776</v>
      </c>
      <c r="I9" s="303" t="s">
        <v>1777</v>
      </c>
      <c r="J9" s="303" t="s">
        <v>1778</v>
      </c>
    </row>
    <row r="10" spans="1:10" s="142" customFormat="1" ht="18" customHeight="1">
      <c r="B10" s="165" t="s">
        <v>1771</v>
      </c>
      <c r="C10" s="165" t="s">
        <v>1779</v>
      </c>
      <c r="D10" s="165" t="s">
        <v>1780</v>
      </c>
      <c r="E10" s="165" t="s">
        <v>1782</v>
      </c>
      <c r="F10" s="304">
        <v>154275.84</v>
      </c>
      <c r="G10" s="304">
        <v>143476.5312</v>
      </c>
      <c r="H10" s="304">
        <f t="shared" ref="H10:H41" si="2">F10-G10</f>
        <v>10799.308799999999</v>
      </c>
      <c r="I10" s="305">
        <v>0.64300000000000002</v>
      </c>
      <c r="J10" s="306">
        <v>9</v>
      </c>
    </row>
    <row r="11" spans="1:10" s="142" customFormat="1" ht="18" customHeight="1">
      <c r="B11" s="165" t="s">
        <v>1771</v>
      </c>
      <c r="C11" s="165" t="s">
        <v>1779</v>
      </c>
      <c r="D11" s="165" t="s">
        <v>1784</v>
      </c>
      <c r="E11" s="165" t="s">
        <v>1782</v>
      </c>
      <c r="F11" s="304">
        <v>57024</v>
      </c>
      <c r="G11" s="304">
        <v>54743.040000000001</v>
      </c>
      <c r="H11" s="304">
        <f t="shared" si="2"/>
        <v>2280.9599999999991</v>
      </c>
      <c r="I11" s="305">
        <v>0.59199999999999997</v>
      </c>
      <c r="J11" s="306">
        <v>8</v>
      </c>
    </row>
    <row r="12" spans="1:10" s="142" customFormat="1" ht="18" customHeight="1">
      <c r="B12" s="165" t="s">
        <v>1771</v>
      </c>
      <c r="C12" s="165" t="s">
        <v>1779</v>
      </c>
      <c r="D12" s="165" t="s">
        <v>1784</v>
      </c>
      <c r="E12" s="165" t="s">
        <v>1782</v>
      </c>
      <c r="F12" s="304">
        <v>69465.600000000006</v>
      </c>
      <c r="G12" s="304">
        <v>66686.975999999995</v>
      </c>
      <c r="H12" s="304">
        <f t="shared" si="2"/>
        <v>2778.6240000000107</v>
      </c>
      <c r="I12" s="305">
        <v>0.41199999999999998</v>
      </c>
      <c r="J12" s="306">
        <v>9</v>
      </c>
    </row>
    <row r="13" spans="1:10" s="142" customFormat="1" ht="18" customHeight="1">
      <c r="B13" s="165" t="s">
        <v>1771</v>
      </c>
      <c r="C13" s="165" t="s">
        <v>1779</v>
      </c>
      <c r="D13" s="165" t="s">
        <v>1780</v>
      </c>
      <c r="E13" s="165" t="s">
        <v>1782</v>
      </c>
      <c r="F13" s="304">
        <v>91463.039999999994</v>
      </c>
      <c r="G13" s="304">
        <v>72255.801599999992</v>
      </c>
      <c r="H13" s="304">
        <f t="shared" si="2"/>
        <v>19207.238400000002</v>
      </c>
      <c r="I13" s="305">
        <v>0.35599999999999998</v>
      </c>
      <c r="J13" s="306">
        <v>8</v>
      </c>
    </row>
    <row r="14" spans="1:10" s="142" customFormat="1" ht="18" customHeight="1">
      <c r="B14" s="165" t="s">
        <v>1771</v>
      </c>
      <c r="C14" s="165" t="s">
        <v>1779</v>
      </c>
      <c r="D14" s="165" t="s">
        <v>1783</v>
      </c>
      <c r="E14" s="165" t="s">
        <v>1782</v>
      </c>
      <c r="F14" s="304">
        <v>94936.320000000007</v>
      </c>
      <c r="G14" s="304">
        <v>77847.782399999996</v>
      </c>
      <c r="H14" s="304">
        <f t="shared" si="2"/>
        <v>17088.537600000011</v>
      </c>
      <c r="I14" s="305">
        <v>0.52900000000000003</v>
      </c>
      <c r="J14" s="306">
        <v>9</v>
      </c>
    </row>
    <row r="15" spans="1:10" s="142" customFormat="1" ht="18" customHeight="1">
      <c r="B15" s="165" t="s">
        <v>1771</v>
      </c>
      <c r="C15" s="165" t="s">
        <v>1779</v>
      </c>
      <c r="D15" s="165" t="s">
        <v>1780</v>
      </c>
      <c r="E15" s="165" t="s">
        <v>1781</v>
      </c>
      <c r="F15" s="304">
        <v>356040</v>
      </c>
      <c r="G15" s="304">
        <v>259909.2</v>
      </c>
      <c r="H15" s="304">
        <f t="shared" si="2"/>
        <v>96130.799999999988</v>
      </c>
      <c r="I15" s="305">
        <v>0.255</v>
      </c>
      <c r="J15" s="306">
        <v>2</v>
      </c>
    </row>
    <row r="16" spans="1:10" s="142" customFormat="1" ht="18" customHeight="1">
      <c r="B16" s="165" t="s">
        <v>1771</v>
      </c>
      <c r="C16" s="165" t="s">
        <v>1779</v>
      </c>
      <c r="D16" s="165" t="s">
        <v>1780</v>
      </c>
      <c r="E16" s="165" t="s">
        <v>1781</v>
      </c>
      <c r="F16" s="304">
        <v>113923.584</v>
      </c>
      <c r="G16" s="304">
        <v>93417.338879999996</v>
      </c>
      <c r="H16" s="304">
        <f t="shared" si="2"/>
        <v>20506.245120000007</v>
      </c>
      <c r="I16" s="305">
        <v>0.255</v>
      </c>
      <c r="J16" s="306">
        <v>6</v>
      </c>
    </row>
    <row r="17" spans="2:10" s="142" customFormat="1" ht="18" customHeight="1">
      <c r="B17" s="165" t="s">
        <v>1771</v>
      </c>
      <c r="C17" s="165" t="s">
        <v>1779</v>
      </c>
      <c r="D17" s="165" t="s">
        <v>1783</v>
      </c>
      <c r="E17" s="165" t="s">
        <v>1781</v>
      </c>
      <c r="F17" s="304">
        <v>90305.279999999999</v>
      </c>
      <c r="G17" s="304">
        <v>70438.118399999992</v>
      </c>
      <c r="H17" s="304">
        <f t="shared" si="2"/>
        <v>19867.161600000007</v>
      </c>
      <c r="I17" s="305">
        <v>0.255</v>
      </c>
      <c r="J17" s="306">
        <v>3</v>
      </c>
    </row>
    <row r="18" spans="2:10" s="142" customFormat="1" ht="18" customHeight="1">
      <c r="B18" s="165" t="s">
        <v>1771</v>
      </c>
      <c r="C18" s="165" t="s">
        <v>1779</v>
      </c>
      <c r="D18" s="165" t="s">
        <v>1780</v>
      </c>
      <c r="E18" s="165" t="s">
        <v>1781</v>
      </c>
      <c r="F18" s="304">
        <v>47520</v>
      </c>
      <c r="G18" s="304">
        <v>45619.199999999997</v>
      </c>
      <c r="H18" s="304">
        <f t="shared" si="2"/>
        <v>1900.8000000000029</v>
      </c>
      <c r="I18" s="305">
        <v>0.247</v>
      </c>
      <c r="J18" s="306">
        <v>6</v>
      </c>
    </row>
    <row r="19" spans="2:10" s="142" customFormat="1" ht="18" customHeight="1">
      <c r="B19" s="165" t="s">
        <v>1771</v>
      </c>
      <c r="C19" s="165" t="s">
        <v>1779</v>
      </c>
      <c r="D19" s="165" t="s">
        <v>1784</v>
      </c>
      <c r="E19" s="165" t="s">
        <v>1781</v>
      </c>
      <c r="F19" s="304">
        <v>261004.79999999999</v>
      </c>
      <c r="G19" s="304">
        <v>221854.07999999999</v>
      </c>
      <c r="H19" s="304">
        <f t="shared" si="2"/>
        <v>39150.720000000001</v>
      </c>
      <c r="I19" s="305">
        <v>0.23300000000000001</v>
      </c>
      <c r="J19" s="306">
        <v>6</v>
      </c>
    </row>
    <row r="20" spans="2:10" s="142" customFormat="1" ht="18" customHeight="1">
      <c r="B20" s="165" t="s">
        <v>1771</v>
      </c>
      <c r="C20" s="165" t="s">
        <v>1779</v>
      </c>
      <c r="D20" s="165" t="s">
        <v>1784</v>
      </c>
      <c r="E20" s="165" t="s">
        <v>1781</v>
      </c>
      <c r="F20" s="304">
        <v>92620.800000000003</v>
      </c>
      <c r="G20" s="304">
        <v>82432.511999999988</v>
      </c>
      <c r="H20" s="304">
        <f t="shared" si="2"/>
        <v>10188.288000000015</v>
      </c>
      <c r="I20" s="305">
        <v>0.187</v>
      </c>
      <c r="J20" s="306">
        <v>3</v>
      </c>
    </row>
    <row r="21" spans="2:10" s="142" customFormat="1" ht="18" customHeight="1">
      <c r="B21" s="165" t="s">
        <v>1771</v>
      </c>
      <c r="C21" s="165" t="s">
        <v>1779</v>
      </c>
      <c r="D21" s="165" t="s">
        <v>1783</v>
      </c>
      <c r="E21" s="165" t="s">
        <v>1782</v>
      </c>
      <c r="F21" s="304">
        <v>394275.84000000003</v>
      </c>
      <c r="G21" s="304">
        <v>366676.53120000003</v>
      </c>
      <c r="H21" s="304">
        <f t="shared" si="2"/>
        <v>27599.308799999999</v>
      </c>
      <c r="I21" s="305">
        <v>0.154</v>
      </c>
      <c r="J21" s="306">
        <v>0</v>
      </c>
    </row>
    <row r="22" spans="2:10" s="142" customFormat="1" ht="18" customHeight="1">
      <c r="B22" s="165" t="s">
        <v>1771</v>
      </c>
      <c r="C22" s="165" t="s">
        <v>1779</v>
      </c>
      <c r="D22" s="165" t="s">
        <v>1783</v>
      </c>
      <c r="E22" s="165" t="s">
        <v>1781</v>
      </c>
      <c r="F22" s="304">
        <v>116121.60000000001</v>
      </c>
      <c r="G22" s="304">
        <v>84768.767999999996</v>
      </c>
      <c r="H22" s="304">
        <f t="shared" si="2"/>
        <v>31352.832000000009</v>
      </c>
      <c r="I22" s="305">
        <v>0.13400000000000001</v>
      </c>
      <c r="J22" s="306">
        <v>3</v>
      </c>
    </row>
    <row r="23" spans="2:10" s="142" customFormat="1" ht="18" customHeight="1">
      <c r="B23" s="165" t="s">
        <v>1785</v>
      </c>
      <c r="C23" s="165" t="s">
        <v>1788</v>
      </c>
      <c r="D23" s="165" t="s">
        <v>1792</v>
      </c>
      <c r="E23" s="165" t="s">
        <v>1782</v>
      </c>
      <c r="F23" s="304">
        <v>91224</v>
      </c>
      <c r="G23" s="304">
        <v>66593.52</v>
      </c>
      <c r="H23" s="304">
        <f t="shared" si="2"/>
        <v>24630.479999999996</v>
      </c>
      <c r="I23" s="305">
        <v>0.65</v>
      </c>
      <c r="J23" s="306">
        <v>6</v>
      </c>
    </row>
    <row r="24" spans="2:10" s="142" customFormat="1" ht="18" customHeight="1">
      <c r="B24" s="165" t="s">
        <v>1785</v>
      </c>
      <c r="C24" s="165" t="s">
        <v>1786</v>
      </c>
      <c r="D24" s="165" t="s">
        <v>1791</v>
      </c>
      <c r="E24" s="165" t="s">
        <v>1781</v>
      </c>
      <c r="F24" s="304">
        <v>76032</v>
      </c>
      <c r="G24" s="304">
        <v>75271.679999999993</v>
      </c>
      <c r="H24" s="304">
        <f t="shared" si="2"/>
        <v>760.32000000000698</v>
      </c>
      <c r="I24" s="305">
        <v>0.623</v>
      </c>
      <c r="J24" s="306">
        <v>0</v>
      </c>
    </row>
    <row r="25" spans="2:10" s="142" customFormat="1" ht="18" customHeight="1">
      <c r="B25" s="165" t="s">
        <v>1785</v>
      </c>
      <c r="C25" s="165" t="s">
        <v>1788</v>
      </c>
      <c r="D25" s="165" t="s">
        <v>1789</v>
      </c>
      <c r="E25" s="165" t="s">
        <v>1782</v>
      </c>
      <c r="F25" s="304">
        <v>121197.6</v>
      </c>
      <c r="G25" s="304">
        <v>112713.76800000001</v>
      </c>
      <c r="H25" s="304">
        <f t="shared" si="2"/>
        <v>8483.8319999999949</v>
      </c>
      <c r="I25" s="305">
        <v>0.45</v>
      </c>
      <c r="J25" s="306">
        <v>13</v>
      </c>
    </row>
    <row r="26" spans="2:10" s="142" customFormat="1" ht="18" customHeight="1">
      <c r="B26" s="165" t="s">
        <v>1785</v>
      </c>
      <c r="C26" s="165" t="s">
        <v>1786</v>
      </c>
      <c r="D26" s="165" t="s">
        <v>1787</v>
      </c>
      <c r="E26" s="165" t="s">
        <v>1782</v>
      </c>
      <c r="F26" s="304">
        <v>181988</v>
      </c>
      <c r="G26" s="304">
        <v>205646.44</v>
      </c>
      <c r="H26" s="304">
        <f t="shared" si="2"/>
        <v>-23658.440000000002</v>
      </c>
      <c r="I26" s="305">
        <v>0.432</v>
      </c>
      <c r="J26" s="306">
        <v>2</v>
      </c>
    </row>
    <row r="27" spans="2:10" s="142" customFormat="1" ht="18" customHeight="1">
      <c r="B27" s="165" t="s">
        <v>1785</v>
      </c>
      <c r="C27" s="165" t="s">
        <v>1788</v>
      </c>
      <c r="D27" s="165" t="s">
        <v>1789</v>
      </c>
      <c r="E27" s="165" t="s">
        <v>1782</v>
      </c>
      <c r="F27" s="304">
        <v>110772</v>
      </c>
      <c r="G27" s="304">
        <v>94156.2</v>
      </c>
      <c r="H27" s="304">
        <f t="shared" si="2"/>
        <v>16615.800000000003</v>
      </c>
      <c r="I27" s="305">
        <v>0.39800000000000002</v>
      </c>
      <c r="J27" s="306">
        <v>9</v>
      </c>
    </row>
    <row r="28" spans="2:10" s="142" customFormat="1" ht="18" customHeight="1">
      <c r="B28" s="165" t="s">
        <v>1785</v>
      </c>
      <c r="C28" s="165" t="s">
        <v>1786</v>
      </c>
      <c r="D28" s="165" t="s">
        <v>1790</v>
      </c>
      <c r="E28" s="165" t="s">
        <v>1781</v>
      </c>
      <c r="F28" s="304">
        <v>128563.2</v>
      </c>
      <c r="G28" s="304">
        <v>119563.776</v>
      </c>
      <c r="H28" s="304">
        <f t="shared" si="2"/>
        <v>8999.4239999999991</v>
      </c>
      <c r="I28" s="305">
        <v>0.39800000000000002</v>
      </c>
      <c r="J28" s="306">
        <v>8</v>
      </c>
    </row>
    <row r="29" spans="2:10" s="142" customFormat="1" ht="18" customHeight="1">
      <c r="B29" s="165" t="s">
        <v>1785</v>
      </c>
      <c r="C29" s="165" t="s">
        <v>1786</v>
      </c>
      <c r="D29" s="165" t="s">
        <v>1787</v>
      </c>
      <c r="E29" s="165" t="s">
        <v>1781</v>
      </c>
      <c r="F29" s="304">
        <v>96768</v>
      </c>
      <c r="G29" s="304">
        <v>70640.639999999999</v>
      </c>
      <c r="H29" s="304">
        <f t="shared" si="2"/>
        <v>26127.360000000001</v>
      </c>
      <c r="I29" s="305">
        <v>0.34499999999999997</v>
      </c>
      <c r="J29" s="306">
        <v>2</v>
      </c>
    </row>
    <row r="30" spans="2:10" s="142" customFormat="1" ht="18" customHeight="1">
      <c r="B30" s="165" t="s">
        <v>1785</v>
      </c>
      <c r="C30" s="165" t="s">
        <v>1788</v>
      </c>
      <c r="D30" s="165" t="s">
        <v>1792</v>
      </c>
      <c r="E30" s="165" t="s">
        <v>1782</v>
      </c>
      <c r="F30" s="304">
        <v>110772</v>
      </c>
      <c r="G30" s="304">
        <v>125172.36</v>
      </c>
      <c r="H30" s="304">
        <f t="shared" si="2"/>
        <v>-14400.36</v>
      </c>
      <c r="I30" s="305">
        <v>0.498</v>
      </c>
      <c r="J30" s="306">
        <v>1</v>
      </c>
    </row>
    <row r="31" spans="2:10" s="142" customFormat="1" ht="18" customHeight="1">
      <c r="B31" s="165" t="s">
        <v>1785</v>
      </c>
      <c r="C31" s="165" t="s">
        <v>1786</v>
      </c>
      <c r="D31" s="165" t="s">
        <v>1787</v>
      </c>
      <c r="E31" s="165" t="s">
        <v>1781</v>
      </c>
      <c r="F31" s="304">
        <v>432900</v>
      </c>
      <c r="G31" s="304">
        <v>367965</v>
      </c>
      <c r="H31" s="304">
        <f t="shared" si="2"/>
        <v>64935</v>
      </c>
      <c r="I31" s="305">
        <v>0.247</v>
      </c>
      <c r="J31" s="306">
        <v>2</v>
      </c>
    </row>
    <row r="32" spans="2:10" s="142" customFormat="1" ht="18" customHeight="1">
      <c r="B32" s="165" t="s">
        <v>1785</v>
      </c>
      <c r="C32" s="165" t="s">
        <v>1788</v>
      </c>
      <c r="D32" s="165" t="s">
        <v>1792</v>
      </c>
      <c r="E32" s="165" t="s">
        <v>1782</v>
      </c>
      <c r="F32" s="304">
        <v>91224</v>
      </c>
      <c r="G32" s="304">
        <v>127713.60000000001</v>
      </c>
      <c r="H32" s="304">
        <f t="shared" si="2"/>
        <v>-36489.600000000006</v>
      </c>
      <c r="I32" s="305">
        <v>0.247</v>
      </c>
      <c r="J32" s="306">
        <v>4</v>
      </c>
    </row>
    <row r="33" spans="2:10" s="142" customFormat="1" ht="18" customHeight="1">
      <c r="B33" s="165" t="s">
        <v>1785</v>
      </c>
      <c r="C33" s="165" t="s">
        <v>1788</v>
      </c>
      <c r="D33" s="165" t="s">
        <v>1792</v>
      </c>
      <c r="E33" s="165" t="s">
        <v>1781</v>
      </c>
      <c r="F33" s="304">
        <v>217504</v>
      </c>
      <c r="G33" s="304">
        <v>184878.4</v>
      </c>
      <c r="H33" s="304">
        <f t="shared" si="2"/>
        <v>32625.600000000006</v>
      </c>
      <c r="I33" s="305">
        <v>0.23300000000000001</v>
      </c>
      <c r="J33" s="306">
        <v>9</v>
      </c>
    </row>
    <row r="34" spans="2:10" s="142" customFormat="1" ht="18" customHeight="1">
      <c r="B34" s="165" t="s">
        <v>1785</v>
      </c>
      <c r="C34" s="165" t="s">
        <v>1786</v>
      </c>
      <c r="D34" s="165" t="s">
        <v>1790</v>
      </c>
      <c r="E34" s="165" t="s">
        <v>1781</v>
      </c>
      <c r="F34" s="304">
        <v>128563.2</v>
      </c>
      <c r="G34" s="304">
        <v>119563.776</v>
      </c>
      <c r="H34" s="304">
        <f t="shared" si="2"/>
        <v>8999.4239999999991</v>
      </c>
      <c r="I34" s="305">
        <v>0.23300000000000001</v>
      </c>
      <c r="J34" s="306">
        <v>1</v>
      </c>
    </row>
    <row r="35" spans="2:10" s="142" customFormat="1" ht="18" customHeight="1">
      <c r="B35" s="165" t="s">
        <v>1785</v>
      </c>
      <c r="C35" s="165" t="s">
        <v>1788</v>
      </c>
      <c r="D35" s="165" t="s">
        <v>1789</v>
      </c>
      <c r="E35" s="165" t="s">
        <v>1782</v>
      </c>
      <c r="F35" s="304">
        <v>121197.6</v>
      </c>
      <c r="G35" s="304">
        <v>112713.76800000001</v>
      </c>
      <c r="H35" s="304">
        <f t="shared" si="2"/>
        <v>8483.8319999999949</v>
      </c>
      <c r="I35" s="305">
        <v>0.23300000000000001</v>
      </c>
      <c r="J35" s="306">
        <v>0</v>
      </c>
    </row>
    <row r="36" spans="2:10" s="142" customFormat="1" ht="18" customHeight="1">
      <c r="B36" s="165" t="s">
        <v>1785</v>
      </c>
      <c r="C36" s="165" t="s">
        <v>1788</v>
      </c>
      <c r="D36" s="165" t="s">
        <v>1792</v>
      </c>
      <c r="E36" s="165" t="s">
        <v>1782</v>
      </c>
      <c r="F36" s="304">
        <v>110772</v>
      </c>
      <c r="G36" s="304">
        <v>125172.36</v>
      </c>
      <c r="H36" s="304">
        <f t="shared" si="2"/>
        <v>-14400.36</v>
      </c>
      <c r="I36" s="305">
        <v>0.23300000000000001</v>
      </c>
      <c r="J36" s="306">
        <v>0</v>
      </c>
    </row>
    <row r="37" spans="2:10" s="142" customFormat="1" ht="18" customHeight="1">
      <c r="B37" s="165" t="s">
        <v>1785</v>
      </c>
      <c r="C37" s="165" t="s">
        <v>1788</v>
      </c>
      <c r="D37" s="165" t="s">
        <v>1792</v>
      </c>
      <c r="E37" s="165" t="s">
        <v>1781</v>
      </c>
      <c r="F37" s="304">
        <v>128563.2</v>
      </c>
      <c r="G37" s="304">
        <v>119563.776</v>
      </c>
      <c r="H37" s="304">
        <f t="shared" si="2"/>
        <v>8999.4239999999991</v>
      </c>
      <c r="I37" s="305">
        <v>0.154</v>
      </c>
      <c r="J37" s="306">
        <v>3</v>
      </c>
    </row>
    <row r="38" spans="2:10" s="142" customFormat="1" ht="18" customHeight="1">
      <c r="B38" s="165" t="s">
        <v>1785</v>
      </c>
      <c r="C38" s="165" t="s">
        <v>1786</v>
      </c>
      <c r="D38" s="165" t="s">
        <v>1787</v>
      </c>
      <c r="E38" s="165" t="s">
        <v>1782</v>
      </c>
      <c r="F38" s="304">
        <v>121197.6</v>
      </c>
      <c r="G38" s="304">
        <v>112713.76800000001</v>
      </c>
      <c r="H38" s="304">
        <f t="shared" si="2"/>
        <v>8483.8319999999949</v>
      </c>
      <c r="I38" s="305">
        <v>0.154</v>
      </c>
      <c r="J38" s="306">
        <v>4</v>
      </c>
    </row>
    <row r="39" spans="2:10" s="142" customFormat="1" ht="18" customHeight="1">
      <c r="B39" s="165" t="s">
        <v>1785</v>
      </c>
      <c r="C39" s="165" t="s">
        <v>1788</v>
      </c>
      <c r="D39" s="165" t="s">
        <v>1792</v>
      </c>
      <c r="E39" s="165" t="s">
        <v>1782</v>
      </c>
      <c r="F39" s="304">
        <v>71676</v>
      </c>
      <c r="G39" s="304">
        <v>70959.240000000005</v>
      </c>
      <c r="H39" s="304">
        <f t="shared" si="2"/>
        <v>716.75999999999476</v>
      </c>
      <c r="I39" s="305">
        <v>0.13400000000000001</v>
      </c>
      <c r="J39" s="306">
        <v>9</v>
      </c>
    </row>
    <row r="40" spans="2:10" s="142" customFormat="1" ht="18" customHeight="1">
      <c r="B40" s="165" t="s">
        <v>1793</v>
      </c>
      <c r="C40" s="165" t="s">
        <v>1779</v>
      </c>
      <c r="D40" s="165" t="s">
        <v>1780</v>
      </c>
      <c r="E40" s="165" t="s">
        <v>1794</v>
      </c>
      <c r="F40" s="304">
        <v>94936.320000000007</v>
      </c>
      <c r="G40" s="304">
        <v>77847.782399999996</v>
      </c>
      <c r="H40" s="304">
        <f t="shared" si="2"/>
        <v>17088.537600000011</v>
      </c>
      <c r="I40" s="305">
        <v>0.57599999999999996</v>
      </c>
      <c r="J40" s="306">
        <v>8</v>
      </c>
    </row>
    <row r="41" spans="2:10" s="142" customFormat="1" ht="18" customHeight="1">
      <c r="B41" s="165" t="s">
        <v>1793</v>
      </c>
      <c r="C41" s="165" t="s">
        <v>1779</v>
      </c>
      <c r="D41" s="165" t="s">
        <v>1783</v>
      </c>
      <c r="E41" s="165" t="s">
        <v>1794</v>
      </c>
      <c r="F41" s="304">
        <v>69465.600000000006</v>
      </c>
      <c r="G41" s="304">
        <v>66686.975999999995</v>
      </c>
      <c r="H41" s="304">
        <f t="shared" si="2"/>
        <v>2778.6240000000107</v>
      </c>
      <c r="I41" s="305">
        <v>0.57299999999999995</v>
      </c>
      <c r="J41" s="306">
        <v>8</v>
      </c>
    </row>
    <row r="42" spans="2:10" s="142" customFormat="1" ht="18" customHeight="1">
      <c r="B42" s="165" t="s">
        <v>1793</v>
      </c>
      <c r="C42" s="165" t="s">
        <v>1779</v>
      </c>
      <c r="D42" s="165" t="s">
        <v>1780</v>
      </c>
      <c r="E42" s="165" t="s">
        <v>1781</v>
      </c>
      <c r="F42" s="304">
        <v>519480</v>
      </c>
      <c r="G42" s="304">
        <v>1443556</v>
      </c>
      <c r="H42" s="304">
        <f t="shared" ref="H42:H73" si="3">F42-G42</f>
        <v>-924076</v>
      </c>
      <c r="I42" s="305">
        <v>0.39800000000000002</v>
      </c>
      <c r="J42" s="306">
        <v>6</v>
      </c>
    </row>
    <row r="43" spans="2:10" s="142" customFormat="1" ht="18" customHeight="1">
      <c r="B43" s="165" t="s">
        <v>1793</v>
      </c>
      <c r="C43" s="165" t="s">
        <v>1779</v>
      </c>
      <c r="D43" s="165" t="s">
        <v>1784</v>
      </c>
      <c r="E43" s="165" t="s">
        <v>1795</v>
      </c>
      <c r="F43" s="304">
        <v>113923.584</v>
      </c>
      <c r="G43" s="304">
        <v>93417.338879999996</v>
      </c>
      <c r="H43" s="304">
        <f t="shared" si="3"/>
        <v>20506.245120000007</v>
      </c>
      <c r="I43" s="305">
        <v>0.35599999999999998</v>
      </c>
      <c r="J43" s="306">
        <v>2</v>
      </c>
    </row>
    <row r="44" spans="2:10" s="142" customFormat="1" ht="18" customHeight="1">
      <c r="B44" s="165" t="s">
        <v>1793</v>
      </c>
      <c r="C44" s="165" t="s">
        <v>1779</v>
      </c>
      <c r="D44" s="165" t="s">
        <v>1783</v>
      </c>
      <c r="E44" s="165" t="s">
        <v>1795</v>
      </c>
      <c r="F44" s="304">
        <v>154275.84</v>
      </c>
      <c r="G44" s="304">
        <v>143476.5312</v>
      </c>
      <c r="H44" s="304">
        <f t="shared" si="3"/>
        <v>10799.308799999999</v>
      </c>
      <c r="I44" s="305">
        <v>0.52200000000000002</v>
      </c>
      <c r="J44" s="306">
        <v>4</v>
      </c>
    </row>
    <row r="45" spans="2:10" s="142" customFormat="1" ht="18" customHeight="1">
      <c r="B45" s="165" t="s">
        <v>1793</v>
      </c>
      <c r="C45" s="165" t="s">
        <v>1779</v>
      </c>
      <c r="D45" s="165" t="s">
        <v>1780</v>
      </c>
      <c r="E45" s="165" t="s">
        <v>1795</v>
      </c>
      <c r="F45" s="304">
        <v>91238.399999999994</v>
      </c>
      <c r="G45" s="304">
        <v>90326.015999999989</v>
      </c>
      <c r="H45" s="304">
        <f t="shared" si="3"/>
        <v>912.38400000000547</v>
      </c>
      <c r="I45" s="305">
        <v>0.315</v>
      </c>
      <c r="J45" s="306">
        <v>9</v>
      </c>
    </row>
    <row r="46" spans="2:10" s="142" customFormat="1" ht="18" customHeight="1">
      <c r="B46" s="165" t="s">
        <v>1793</v>
      </c>
      <c r="C46" s="165" t="s">
        <v>1779</v>
      </c>
      <c r="D46" s="165" t="s">
        <v>1784</v>
      </c>
      <c r="E46" s="165" t="s">
        <v>1794</v>
      </c>
      <c r="F46" s="304">
        <v>91463.039999999994</v>
      </c>
      <c r="G46" s="304">
        <v>72255.801599999992</v>
      </c>
      <c r="H46" s="304">
        <f t="shared" si="3"/>
        <v>19207.238400000002</v>
      </c>
      <c r="I46" s="305">
        <v>0.27600000000000002</v>
      </c>
      <c r="J46" s="306">
        <v>5</v>
      </c>
    </row>
    <row r="47" spans="2:10" s="142" customFormat="1" ht="18" customHeight="1">
      <c r="B47" s="165" t="s">
        <v>1793</v>
      </c>
      <c r="C47" s="165" t="s">
        <v>1779</v>
      </c>
      <c r="D47" s="165" t="s">
        <v>1780</v>
      </c>
      <c r="E47" s="165" t="s">
        <v>1795</v>
      </c>
      <c r="F47" s="304">
        <v>90305.279999999999</v>
      </c>
      <c r="G47" s="304">
        <v>70438.118399999992</v>
      </c>
      <c r="H47" s="304">
        <f t="shared" si="3"/>
        <v>19867.161600000007</v>
      </c>
      <c r="I47" s="307">
        <v>0.26500000000000001</v>
      </c>
      <c r="J47" s="306">
        <v>2</v>
      </c>
    </row>
    <row r="48" spans="2:10" s="142" customFormat="1" ht="18" customHeight="1">
      <c r="B48" s="165" t="s">
        <v>1793</v>
      </c>
      <c r="C48" s="165" t="s">
        <v>1779</v>
      </c>
      <c r="D48" s="165" t="s">
        <v>1783</v>
      </c>
      <c r="E48" s="165" t="s">
        <v>1795</v>
      </c>
      <c r="F48" s="304">
        <v>92620.800000000003</v>
      </c>
      <c r="G48" s="304">
        <v>104661.504</v>
      </c>
      <c r="H48" s="304">
        <f t="shared" si="3"/>
        <v>-12040.703999999998</v>
      </c>
      <c r="I48" s="305">
        <v>0.255</v>
      </c>
      <c r="J48" s="306">
        <v>9</v>
      </c>
    </row>
    <row r="49" spans="2:10" s="142" customFormat="1" ht="18" customHeight="1">
      <c r="B49" s="165" t="s">
        <v>1793</v>
      </c>
      <c r="C49" s="165" t="s">
        <v>1779</v>
      </c>
      <c r="D49" s="165" t="s">
        <v>1784</v>
      </c>
      <c r="E49" s="165" t="s">
        <v>1794</v>
      </c>
      <c r="F49" s="304">
        <v>154275.84</v>
      </c>
      <c r="G49" s="304">
        <v>143476.5312</v>
      </c>
      <c r="H49" s="304">
        <f t="shared" si="3"/>
        <v>10799.308799999999</v>
      </c>
      <c r="I49" s="305">
        <v>0.247</v>
      </c>
      <c r="J49" s="306">
        <v>8</v>
      </c>
    </row>
    <row r="50" spans="2:10" s="142" customFormat="1" ht="18" customHeight="1">
      <c r="B50" s="165" t="s">
        <v>1793</v>
      </c>
      <c r="C50" s="165" t="s">
        <v>1779</v>
      </c>
      <c r="D50" s="165" t="s">
        <v>1784</v>
      </c>
      <c r="E50" s="165" t="s">
        <v>1795</v>
      </c>
      <c r="F50" s="304">
        <v>1447185.6</v>
      </c>
      <c r="G50" s="304">
        <v>975545</v>
      </c>
      <c r="H50" s="304">
        <f t="shared" si="3"/>
        <v>471640.60000000009</v>
      </c>
      <c r="I50" s="305">
        <v>0.23300000000000001</v>
      </c>
      <c r="J50" s="306">
        <v>9</v>
      </c>
    </row>
    <row r="51" spans="2:10" s="142" customFormat="1" ht="18" customHeight="1">
      <c r="B51" s="165" t="s">
        <v>1793</v>
      </c>
      <c r="C51" s="165" t="s">
        <v>1779</v>
      </c>
      <c r="D51" s="165" t="s">
        <v>1783</v>
      </c>
      <c r="E51" s="165" t="s">
        <v>1794</v>
      </c>
      <c r="F51" s="304">
        <v>113923.584</v>
      </c>
      <c r="G51" s="304">
        <v>93417.338879999996</v>
      </c>
      <c r="H51" s="304">
        <f t="shared" si="3"/>
        <v>20506.245120000007</v>
      </c>
      <c r="I51" s="305">
        <v>0.187</v>
      </c>
      <c r="J51" s="306">
        <v>5</v>
      </c>
    </row>
    <row r="52" spans="2:10" s="142" customFormat="1" ht="18" customHeight="1">
      <c r="B52" s="165" t="s">
        <v>1793</v>
      </c>
      <c r="C52" s="165" t="s">
        <v>1779</v>
      </c>
      <c r="D52" s="165" t="s">
        <v>1784</v>
      </c>
      <c r="E52" s="165" t="s">
        <v>1795</v>
      </c>
      <c r="F52" s="304">
        <v>94936.320000000007</v>
      </c>
      <c r="G52" s="304">
        <v>77847.782399999996</v>
      </c>
      <c r="H52" s="304">
        <f t="shared" si="3"/>
        <v>17088.537600000011</v>
      </c>
      <c r="I52" s="305">
        <v>0.13400000000000001</v>
      </c>
      <c r="J52" s="306">
        <v>4</v>
      </c>
    </row>
    <row r="53" spans="2:10" s="142" customFormat="1" ht="18" customHeight="1">
      <c r="B53" s="165" t="s">
        <v>1796</v>
      </c>
      <c r="C53" s="165" t="s">
        <v>1786</v>
      </c>
      <c r="D53" s="165" t="s">
        <v>1787</v>
      </c>
      <c r="E53" s="165" t="s">
        <v>1781</v>
      </c>
      <c r="F53" s="304">
        <v>1205988</v>
      </c>
      <c r="G53" s="304">
        <v>657880</v>
      </c>
      <c r="H53" s="304">
        <f t="shared" si="3"/>
        <v>548108</v>
      </c>
      <c r="I53" s="305">
        <v>0.432</v>
      </c>
      <c r="J53" s="306">
        <v>10</v>
      </c>
    </row>
    <row r="54" spans="2:10" s="142" customFormat="1" ht="18" customHeight="1">
      <c r="B54" s="165" t="s">
        <v>1796</v>
      </c>
      <c r="C54" s="165" t="s">
        <v>1786</v>
      </c>
      <c r="D54" s="165" t="s">
        <v>1787</v>
      </c>
      <c r="E54" s="165" t="s">
        <v>1781</v>
      </c>
      <c r="F54" s="304">
        <f>128563.2+200000</f>
        <v>328563.20000000001</v>
      </c>
      <c r="G54" s="304">
        <v>305563.77600000001</v>
      </c>
      <c r="H54" s="304">
        <f t="shared" si="3"/>
        <v>22999.423999999999</v>
      </c>
      <c r="I54" s="307">
        <v>0.39800000000000002</v>
      </c>
      <c r="J54" s="306">
        <v>3</v>
      </c>
    </row>
    <row r="55" spans="2:10" s="142" customFormat="1" ht="18" customHeight="1">
      <c r="B55" s="165" t="s">
        <v>1797</v>
      </c>
      <c r="C55" s="165" t="s">
        <v>1788</v>
      </c>
      <c r="D55" s="165" t="s">
        <v>1792</v>
      </c>
      <c r="E55" s="165" t="s">
        <v>1794</v>
      </c>
      <c r="F55" s="304">
        <v>54120</v>
      </c>
      <c r="G55" s="304">
        <v>44378.400000000001</v>
      </c>
      <c r="H55" s="304">
        <f t="shared" si="3"/>
        <v>9741.5999999999985</v>
      </c>
      <c r="I55" s="305">
        <v>0.54300000000000004</v>
      </c>
      <c r="J55" s="306">
        <v>3</v>
      </c>
    </row>
    <row r="56" spans="2:10" s="142" customFormat="1" ht="18" customHeight="1">
      <c r="B56" s="165" t="s">
        <v>1797</v>
      </c>
      <c r="C56" s="165" t="s">
        <v>1786</v>
      </c>
      <c r="D56" s="165" t="s">
        <v>1787</v>
      </c>
      <c r="E56" s="165" t="s">
        <v>1794</v>
      </c>
      <c r="F56" s="304">
        <v>39600</v>
      </c>
      <c r="G56" s="304">
        <v>38016</v>
      </c>
      <c r="H56" s="304">
        <f t="shared" si="3"/>
        <v>1584</v>
      </c>
      <c r="I56" s="305">
        <v>0.61199999999999999</v>
      </c>
      <c r="J56" s="306">
        <v>2</v>
      </c>
    </row>
    <row r="57" spans="2:10" s="142" customFormat="1" ht="18" customHeight="1">
      <c r="B57" s="165" t="s">
        <v>1797</v>
      </c>
      <c r="C57" s="165" t="s">
        <v>1788</v>
      </c>
      <c r="D57" s="165" t="s">
        <v>1789</v>
      </c>
      <c r="E57" s="165" t="s">
        <v>1795</v>
      </c>
      <c r="F57" s="304">
        <v>77184</v>
      </c>
      <c r="G57" s="304">
        <v>87217.919999999998</v>
      </c>
      <c r="H57" s="304">
        <f t="shared" si="3"/>
        <v>-10033.919999999998</v>
      </c>
      <c r="I57" s="305">
        <v>0.34399999999999997</v>
      </c>
      <c r="J57" s="306">
        <v>5</v>
      </c>
    </row>
    <row r="58" spans="2:10" s="142" customFormat="1" ht="18" customHeight="1">
      <c r="B58" s="165" t="s">
        <v>1797</v>
      </c>
      <c r="C58" s="165" t="s">
        <v>1788</v>
      </c>
      <c r="D58" s="165" t="s">
        <v>1789</v>
      </c>
      <c r="E58" s="165" t="s">
        <v>1795</v>
      </c>
      <c r="F58" s="304">
        <v>76219.199999999997</v>
      </c>
      <c r="G58" s="304">
        <v>60213.167999999998</v>
      </c>
      <c r="H58" s="304">
        <f t="shared" si="3"/>
        <v>16006.031999999999</v>
      </c>
      <c r="I58" s="305">
        <v>0.754</v>
      </c>
      <c r="J58" s="306">
        <v>1</v>
      </c>
    </row>
    <row r="59" spans="2:10" s="142" customFormat="1" ht="18" customHeight="1">
      <c r="B59" s="165" t="s">
        <v>1797</v>
      </c>
      <c r="C59" s="165" t="s">
        <v>1786</v>
      </c>
      <c r="D59" s="165" t="s">
        <v>1787</v>
      </c>
      <c r="E59" s="165" t="s">
        <v>1795</v>
      </c>
      <c r="F59" s="304">
        <v>79113.600000000006</v>
      </c>
      <c r="G59" s="304">
        <v>64873.152000000002</v>
      </c>
      <c r="H59" s="304">
        <f t="shared" si="3"/>
        <v>14240.448000000004</v>
      </c>
      <c r="I59" s="305">
        <v>0.435</v>
      </c>
      <c r="J59" s="306">
        <v>6</v>
      </c>
    </row>
    <row r="60" spans="2:10" s="142" customFormat="1" ht="18" customHeight="1">
      <c r="B60" s="165" t="s">
        <v>1797</v>
      </c>
      <c r="C60" s="165" t="s">
        <v>1788</v>
      </c>
      <c r="D60" s="165" t="s">
        <v>1792</v>
      </c>
      <c r="E60" s="165" t="s">
        <v>1794</v>
      </c>
      <c r="F60" s="304">
        <v>39600</v>
      </c>
      <c r="G60" s="304">
        <v>38016</v>
      </c>
      <c r="H60" s="304">
        <f t="shared" si="3"/>
        <v>1584</v>
      </c>
      <c r="I60" s="305">
        <v>0.56299999999999994</v>
      </c>
      <c r="J60" s="306">
        <v>8</v>
      </c>
    </row>
    <row r="61" spans="2:10" s="142" customFormat="1" ht="18" customHeight="1">
      <c r="B61" s="165" t="s">
        <v>1797</v>
      </c>
      <c r="C61" s="165" t="s">
        <v>1786</v>
      </c>
      <c r="D61" s="165" t="s">
        <v>1787</v>
      </c>
      <c r="E61" s="165" t="s">
        <v>1782</v>
      </c>
      <c r="F61" s="304">
        <v>71676</v>
      </c>
      <c r="G61" s="304">
        <v>70959.240000000005</v>
      </c>
      <c r="H61" s="304">
        <f t="shared" si="3"/>
        <v>716.75999999999476</v>
      </c>
      <c r="I61" s="305">
        <v>0.23400000000000001</v>
      </c>
      <c r="J61" s="306">
        <v>1</v>
      </c>
    </row>
    <row r="62" spans="2:10" s="142" customFormat="1" ht="18" customHeight="1">
      <c r="B62" s="165" t="s">
        <v>1797</v>
      </c>
      <c r="C62" s="165" t="s">
        <v>1786</v>
      </c>
      <c r="D62" s="165" t="s">
        <v>1790</v>
      </c>
      <c r="E62" s="165" t="s">
        <v>1795</v>
      </c>
      <c r="F62" s="304">
        <v>75254.399999999994</v>
      </c>
      <c r="G62" s="304">
        <v>58698.432000000001</v>
      </c>
      <c r="H62" s="304">
        <f t="shared" si="3"/>
        <v>16555.967999999993</v>
      </c>
      <c r="I62" s="305">
        <v>0.35599999999999998</v>
      </c>
      <c r="J62" s="306">
        <v>5</v>
      </c>
    </row>
    <row r="63" spans="2:10" s="142" customFormat="1" ht="18" customHeight="1">
      <c r="B63" s="165" t="s">
        <v>1797</v>
      </c>
      <c r="C63" s="165" t="s">
        <v>1788</v>
      </c>
      <c r="D63" s="165" t="s">
        <v>1789</v>
      </c>
      <c r="E63" s="165" t="s">
        <v>1794</v>
      </c>
      <c r="F63" s="304">
        <v>52140</v>
      </c>
      <c r="G63" s="304">
        <v>41190.6</v>
      </c>
      <c r="H63" s="304">
        <f t="shared" si="3"/>
        <v>10949.400000000001</v>
      </c>
      <c r="I63" s="305">
        <v>0.35599999999999998</v>
      </c>
      <c r="J63" s="306">
        <v>5</v>
      </c>
    </row>
    <row r="64" spans="2:10" s="142" customFormat="1" ht="18" customHeight="1">
      <c r="B64" s="165" t="s">
        <v>1797</v>
      </c>
      <c r="C64" s="165" t="s">
        <v>1788</v>
      </c>
      <c r="D64" s="165" t="s">
        <v>1792</v>
      </c>
      <c r="E64" s="165" t="s">
        <v>1794</v>
      </c>
      <c r="F64" s="304">
        <v>54120</v>
      </c>
      <c r="G64" s="304">
        <v>44378.400000000001</v>
      </c>
      <c r="H64" s="304">
        <f t="shared" si="3"/>
        <v>9741.5999999999985</v>
      </c>
      <c r="I64" s="305">
        <v>0.377</v>
      </c>
      <c r="J64" s="306">
        <v>8</v>
      </c>
    </row>
    <row r="65" spans="2:10" s="142" customFormat="1" ht="18" customHeight="1">
      <c r="B65" s="165" t="s">
        <v>1797</v>
      </c>
      <c r="C65" s="165" t="s">
        <v>1786</v>
      </c>
      <c r="D65" s="165" t="s">
        <v>1787</v>
      </c>
      <c r="E65" s="165" t="s">
        <v>1795</v>
      </c>
      <c r="F65" s="304">
        <v>57888</v>
      </c>
      <c r="G65" s="304">
        <v>55572.480000000003</v>
      </c>
      <c r="H65" s="304">
        <f t="shared" si="3"/>
        <v>2315.5199999999968</v>
      </c>
      <c r="I65" s="305">
        <v>0.245</v>
      </c>
      <c r="J65" s="306">
        <v>5</v>
      </c>
    </row>
    <row r="66" spans="2:10" s="142" customFormat="1" ht="18" customHeight="1">
      <c r="B66" s="165" t="s">
        <v>1797</v>
      </c>
      <c r="C66" s="165" t="s">
        <v>1786</v>
      </c>
      <c r="D66" s="165" t="s">
        <v>1787</v>
      </c>
      <c r="E66" s="165" t="s">
        <v>1795</v>
      </c>
      <c r="F66" s="304">
        <v>79113.600000000006</v>
      </c>
      <c r="G66" s="304">
        <v>64873.152000000002</v>
      </c>
      <c r="H66" s="304">
        <f t="shared" si="3"/>
        <v>14240.448000000004</v>
      </c>
      <c r="I66" s="305">
        <v>0.27600000000000002</v>
      </c>
      <c r="J66" s="306">
        <v>0</v>
      </c>
    </row>
    <row r="67" spans="2:10" s="142" customFormat="1" ht="18" customHeight="1">
      <c r="B67" s="165" t="s">
        <v>1797</v>
      </c>
      <c r="C67" s="165" t="s">
        <v>1788</v>
      </c>
      <c r="D67" s="165" t="s">
        <v>1789</v>
      </c>
      <c r="E67" s="165" t="s">
        <v>1794</v>
      </c>
      <c r="F67" s="304">
        <v>52140</v>
      </c>
      <c r="G67" s="304">
        <v>41190.6</v>
      </c>
      <c r="H67" s="304">
        <f t="shared" si="3"/>
        <v>10949.400000000001</v>
      </c>
      <c r="I67" s="305">
        <v>0.27600000000000002</v>
      </c>
      <c r="J67" s="306">
        <v>6</v>
      </c>
    </row>
    <row r="68" spans="2:10" s="142" customFormat="1" ht="18" customHeight="1">
      <c r="B68" s="165" t="s">
        <v>1797</v>
      </c>
      <c r="C68" s="165" t="s">
        <v>1786</v>
      </c>
      <c r="D68" s="165" t="s">
        <v>1790</v>
      </c>
      <c r="E68" s="165" t="s">
        <v>1795</v>
      </c>
      <c r="F68" s="304">
        <v>76219.199999999997</v>
      </c>
      <c r="G68" s="304">
        <v>60213.167999999998</v>
      </c>
      <c r="H68" s="304">
        <f t="shared" si="3"/>
        <v>16006.031999999999</v>
      </c>
      <c r="I68" s="305">
        <v>0.26500000000000001</v>
      </c>
      <c r="J68" s="306">
        <v>7</v>
      </c>
    </row>
    <row r="69" spans="2:10" s="142" customFormat="1" ht="18" customHeight="1">
      <c r="B69" s="165" t="s">
        <v>1797</v>
      </c>
      <c r="C69" s="165" t="s">
        <v>1786</v>
      </c>
      <c r="D69" s="165" t="s">
        <v>1787</v>
      </c>
      <c r="E69" s="165" t="s">
        <v>1794</v>
      </c>
      <c r="F69" s="304">
        <v>51480</v>
      </c>
      <c r="G69" s="304">
        <v>58172.4</v>
      </c>
      <c r="H69" s="304">
        <f t="shared" si="3"/>
        <v>-6692.4000000000015</v>
      </c>
      <c r="I69" s="307">
        <v>0.26500000000000001</v>
      </c>
      <c r="J69" s="306">
        <v>9</v>
      </c>
    </row>
    <row r="70" spans="2:10" s="142" customFormat="1" ht="18" customHeight="1">
      <c r="B70" s="165" t="s">
        <v>1797</v>
      </c>
      <c r="C70" s="165" t="s">
        <v>1788</v>
      </c>
      <c r="D70" s="165" t="s">
        <v>1789</v>
      </c>
      <c r="E70" s="165" t="s">
        <v>1795</v>
      </c>
      <c r="F70" s="304">
        <v>75254.399999999994</v>
      </c>
      <c r="G70" s="304">
        <v>58698.432000000001</v>
      </c>
      <c r="H70" s="304">
        <f t="shared" si="3"/>
        <v>16555.967999999993</v>
      </c>
      <c r="I70" s="305">
        <v>0.255</v>
      </c>
      <c r="J70" s="306">
        <v>9</v>
      </c>
    </row>
    <row r="71" spans="2:10" s="142" customFormat="1" ht="18" customHeight="1">
      <c r="B71" s="165" t="s">
        <v>1797</v>
      </c>
      <c r="C71" s="165" t="s">
        <v>1788</v>
      </c>
      <c r="D71" s="165" t="s">
        <v>1792</v>
      </c>
      <c r="E71" s="165" t="s">
        <v>1795</v>
      </c>
      <c r="F71" s="304">
        <v>79113.600000000006</v>
      </c>
      <c r="G71" s="304">
        <v>64873.152000000002</v>
      </c>
      <c r="H71" s="304">
        <f t="shared" si="3"/>
        <v>14240.448000000004</v>
      </c>
      <c r="I71" s="305">
        <v>0.255</v>
      </c>
      <c r="J71" s="306">
        <v>9</v>
      </c>
    </row>
    <row r="72" spans="2:10" s="142" customFormat="1" ht="18" customHeight="1">
      <c r="B72" s="165" t="s">
        <v>1797</v>
      </c>
      <c r="C72" s="165" t="s">
        <v>1788</v>
      </c>
      <c r="D72" s="165" t="s">
        <v>1792</v>
      </c>
      <c r="E72" s="165" t="s">
        <v>1794</v>
      </c>
      <c r="F72" s="304">
        <v>51480</v>
      </c>
      <c r="G72" s="304">
        <v>40154.400000000001</v>
      </c>
      <c r="H72" s="304">
        <f t="shared" si="3"/>
        <v>11325.599999999999</v>
      </c>
      <c r="I72" s="305">
        <v>0.255</v>
      </c>
      <c r="J72" s="306">
        <v>2</v>
      </c>
    </row>
    <row r="73" spans="2:10" s="142" customFormat="1" ht="18" customHeight="1">
      <c r="B73" s="165" t="s">
        <v>1797</v>
      </c>
      <c r="C73" s="165" t="s">
        <v>1788</v>
      </c>
      <c r="D73" s="165" t="s">
        <v>1789</v>
      </c>
      <c r="E73" s="165" t="s">
        <v>1795</v>
      </c>
      <c r="F73" s="304">
        <v>77184</v>
      </c>
      <c r="G73" s="304">
        <v>68693.759999999995</v>
      </c>
      <c r="H73" s="304">
        <f t="shared" si="3"/>
        <v>8490.2400000000052</v>
      </c>
      <c r="I73" s="305">
        <v>0.255</v>
      </c>
      <c r="J73" s="306">
        <v>5</v>
      </c>
    </row>
    <row r="74" spans="2:10" s="142" customFormat="1" ht="18" customHeight="1">
      <c r="B74" s="165" t="s">
        <v>1797</v>
      </c>
      <c r="C74" s="165" t="s">
        <v>1788</v>
      </c>
      <c r="D74" s="165" t="s">
        <v>1789</v>
      </c>
      <c r="E74" s="165" t="s">
        <v>1794</v>
      </c>
      <c r="F74" s="304">
        <v>52800</v>
      </c>
      <c r="G74" s="304">
        <v>59664</v>
      </c>
      <c r="H74" s="304">
        <f t="shared" ref="H74:H105" si="4">F74-G74</f>
        <v>-6864</v>
      </c>
      <c r="I74" s="305">
        <v>0.255</v>
      </c>
      <c r="J74" s="306">
        <v>8</v>
      </c>
    </row>
    <row r="75" spans="2:10" s="142" customFormat="1" ht="18" customHeight="1">
      <c r="B75" s="165" t="s">
        <v>1797</v>
      </c>
      <c r="C75" s="165" t="s">
        <v>1786</v>
      </c>
      <c r="D75" s="165" t="s">
        <v>1790</v>
      </c>
      <c r="E75" s="165" t="s">
        <v>1781</v>
      </c>
      <c r="F75" s="304">
        <v>296700</v>
      </c>
      <c r="G75" s="304">
        <v>216591</v>
      </c>
      <c r="H75" s="304">
        <f t="shared" si="4"/>
        <v>80109</v>
      </c>
      <c r="I75" s="305">
        <v>0.23300000000000001</v>
      </c>
      <c r="J75" s="306">
        <v>1</v>
      </c>
    </row>
    <row r="76" spans="2:10" s="142" customFormat="1" ht="18" customHeight="1">
      <c r="B76" s="165" t="s">
        <v>1797</v>
      </c>
      <c r="C76" s="165" t="s">
        <v>1786</v>
      </c>
      <c r="D76" s="165" t="s">
        <v>1790</v>
      </c>
      <c r="E76" s="165" t="s">
        <v>1794</v>
      </c>
      <c r="F76" s="304">
        <v>52800</v>
      </c>
      <c r="G76" s="304">
        <v>46992</v>
      </c>
      <c r="H76" s="304">
        <f t="shared" si="4"/>
        <v>5808</v>
      </c>
      <c r="I76" s="305">
        <v>0.187</v>
      </c>
      <c r="J76" s="306">
        <v>9</v>
      </c>
    </row>
    <row r="77" spans="2:10" s="142" customFormat="1" ht="18" customHeight="1">
      <c r="B77" s="165" t="s">
        <v>1797</v>
      </c>
      <c r="C77" s="165" t="s">
        <v>1786</v>
      </c>
      <c r="D77" s="165" t="s">
        <v>1787</v>
      </c>
      <c r="E77" s="165" t="s">
        <v>1795</v>
      </c>
      <c r="F77" s="304">
        <v>57888</v>
      </c>
      <c r="G77" s="304">
        <v>55572.480000000003</v>
      </c>
      <c r="H77" s="304">
        <f t="shared" si="4"/>
        <v>2315.5199999999968</v>
      </c>
      <c r="I77" s="305">
        <v>0.187</v>
      </c>
      <c r="J77" s="306">
        <v>3</v>
      </c>
    </row>
    <row r="78" spans="2:10" s="311" customFormat="1" ht="18" customHeight="1">
      <c r="B78" s="189"/>
      <c r="C78" s="189"/>
      <c r="D78" s="189"/>
      <c r="E78" s="189"/>
      <c r="F78" s="308"/>
      <c r="G78" s="308"/>
      <c r="H78" s="308"/>
      <c r="I78" s="309"/>
      <c r="J78" s="310"/>
    </row>
    <row r="79" spans="2:10" s="142" customFormat="1" ht="15.75"/>
    <row r="80" spans="2:10" s="142" customFormat="1" ht="15.75"/>
    <row r="81" spans="2:2" s="142" customFormat="1" ht="15.75"/>
    <row r="82" spans="2:2" s="142" customFormat="1" ht="15.75"/>
    <row r="83" spans="2:2" s="142" customFormat="1" ht="15.75"/>
    <row r="84" spans="2:2" s="142" customFormat="1" ht="15.75"/>
    <row r="85" spans="2:2" s="142" customFormat="1" ht="15.75"/>
    <row r="86" spans="2:2" s="142" customFormat="1" ht="15.75"/>
    <row r="87" spans="2:2" s="142" customFormat="1" ht="15.75"/>
    <row r="88" spans="2:2" s="142" customFormat="1" ht="15.75"/>
    <row r="89" spans="2:2" s="142" customFormat="1" ht="15.75"/>
    <row r="90" spans="2:2" s="142" customFormat="1" ht="15.75"/>
    <row r="91" spans="2:2" s="142" customFormat="1" ht="15.75"/>
    <row r="92" spans="2:2" s="142" customFormat="1" ht="15.75"/>
    <row r="93" spans="2:2" ht="15">
      <c r="B93" s="3"/>
    </row>
    <row r="94" spans="2:2" ht="15">
      <c r="B94" s="3"/>
    </row>
    <row r="95" spans="2:2" ht="15">
      <c r="B95" s="3"/>
    </row>
    <row r="96" spans="2:2" ht="15">
      <c r="B96" s="3"/>
    </row>
    <row r="97" spans="2:2" ht="15">
      <c r="B97" s="3"/>
    </row>
    <row r="98" spans="2:2" ht="15">
      <c r="B98" s="3"/>
    </row>
    <row r="99" spans="2:2" ht="15">
      <c r="B99" s="3"/>
    </row>
    <row r="100" spans="2:2" ht="15">
      <c r="B100" s="3"/>
    </row>
    <row r="101" spans="2:2" ht="15">
      <c r="B101" s="3"/>
    </row>
    <row r="102" spans="2:2" ht="15">
      <c r="B102" s="3"/>
    </row>
    <row r="103" spans="2:2" ht="15">
      <c r="B103" s="3"/>
    </row>
    <row r="104" spans="2:2" ht="15">
      <c r="B104" s="3"/>
    </row>
    <row r="105" spans="2:2" ht="15">
      <c r="B105" s="3"/>
    </row>
    <row r="106" spans="2:2" ht="15">
      <c r="B106" s="3"/>
    </row>
    <row r="107" spans="2:2" ht="15">
      <c r="B107" s="3"/>
    </row>
    <row r="108" spans="2:2" ht="15">
      <c r="B108" s="3"/>
    </row>
    <row r="109" spans="2:2" ht="15">
      <c r="B109" s="3"/>
    </row>
    <row r="110" spans="2:2" ht="15">
      <c r="B110" s="3"/>
    </row>
    <row r="111" spans="2:2" ht="15">
      <c r="B111" s="3"/>
    </row>
    <row r="112" spans="2:2" ht="15">
      <c r="B112" s="3"/>
    </row>
    <row r="113" spans="2:2" ht="15">
      <c r="B113" s="3"/>
    </row>
    <row r="114" spans="2:2" ht="15">
      <c r="B114" s="3"/>
    </row>
    <row r="115" spans="2:2" ht="15">
      <c r="B115" s="3"/>
    </row>
    <row r="116" spans="2:2" ht="15">
      <c r="B116" s="3"/>
    </row>
    <row r="117" spans="2:2" ht="15">
      <c r="B117" s="3"/>
    </row>
    <row r="118" spans="2:2" ht="15">
      <c r="B118" s="3"/>
    </row>
    <row r="119" spans="2:2" ht="15">
      <c r="B119" s="3"/>
    </row>
    <row r="120" spans="2:2" ht="15">
      <c r="B120" s="3"/>
    </row>
    <row r="121" spans="2:2" ht="15">
      <c r="B121" s="3"/>
    </row>
    <row r="122" spans="2:2" ht="15">
      <c r="B122" s="3"/>
    </row>
    <row r="123" spans="2:2" ht="15">
      <c r="B123" s="3"/>
    </row>
    <row r="124" spans="2:2" ht="15">
      <c r="B124" s="3"/>
    </row>
    <row r="125" spans="2:2" ht="15">
      <c r="B125" s="3"/>
    </row>
    <row r="126" spans="2:2" ht="15">
      <c r="B126" s="3"/>
    </row>
    <row r="127" spans="2:2" ht="15">
      <c r="B127" s="3"/>
    </row>
    <row r="128" spans="2:2" ht="15">
      <c r="B128" s="3"/>
    </row>
    <row r="129" spans="2:2" ht="15">
      <c r="B129" s="3"/>
    </row>
    <row r="130" spans="2:2" ht="15">
      <c r="B130" s="3"/>
    </row>
    <row r="131" spans="2:2" ht="15">
      <c r="B131" s="3"/>
    </row>
    <row r="132" spans="2:2" ht="15">
      <c r="B132" s="3"/>
    </row>
    <row r="133" spans="2:2" ht="15">
      <c r="B133" s="3"/>
    </row>
    <row r="134" spans="2:2" ht="15">
      <c r="B134" s="3"/>
    </row>
    <row r="135" spans="2:2" ht="15">
      <c r="B135" s="3"/>
    </row>
    <row r="136" spans="2:2" ht="15">
      <c r="B136" s="3"/>
    </row>
    <row r="137" spans="2:2" ht="15">
      <c r="B137" s="3"/>
    </row>
    <row r="138" spans="2:2" ht="15">
      <c r="B138" s="3"/>
    </row>
    <row r="139" spans="2:2" ht="15">
      <c r="B139" s="3"/>
    </row>
    <row r="140" spans="2:2" ht="15">
      <c r="B140" s="3"/>
    </row>
    <row r="141" spans="2:2" ht="15">
      <c r="B141" s="3"/>
    </row>
    <row r="142" spans="2:2" ht="15">
      <c r="B142" s="3"/>
    </row>
    <row r="143" spans="2:2" ht="15">
      <c r="B143" s="3"/>
    </row>
    <row r="144" spans="2:2" ht="15">
      <c r="B144" s="3"/>
    </row>
    <row r="145" spans="2:2" ht="15">
      <c r="B145" s="3"/>
    </row>
    <row r="146" spans="2:2" ht="15">
      <c r="B146" s="3"/>
    </row>
    <row r="147" spans="2:2" ht="15">
      <c r="B147" s="3"/>
    </row>
    <row r="148" spans="2:2" ht="15">
      <c r="B148" s="3"/>
    </row>
    <row r="149" spans="2:2" ht="15">
      <c r="B149" s="3"/>
    </row>
    <row r="150" spans="2:2" ht="15">
      <c r="B150" s="3"/>
    </row>
    <row r="151" spans="2:2" ht="15">
      <c r="B151" s="3"/>
    </row>
    <row r="152" spans="2:2" ht="15">
      <c r="B152" s="3"/>
    </row>
    <row r="153" spans="2:2" ht="15">
      <c r="B153" s="3"/>
    </row>
    <row r="154" spans="2:2" ht="15">
      <c r="B154" s="3"/>
    </row>
    <row r="155" spans="2:2" ht="15">
      <c r="B155" s="3"/>
    </row>
    <row r="156" spans="2:2" ht="15">
      <c r="B156" s="3"/>
    </row>
    <row r="157" spans="2:2" ht="15">
      <c r="B157" s="3"/>
    </row>
    <row r="158" spans="2:2" ht="15">
      <c r="B158" s="3"/>
    </row>
    <row r="159" spans="2:2" ht="15">
      <c r="B159" s="3"/>
    </row>
    <row r="160" spans="2:2" ht="15">
      <c r="B160" s="3"/>
    </row>
    <row r="161" spans="2:2" ht="15">
      <c r="B161" s="3"/>
    </row>
    <row r="162" spans="2:2" ht="15">
      <c r="B162" s="3"/>
    </row>
    <row r="163" spans="2:2" ht="15">
      <c r="B163" s="3"/>
    </row>
    <row r="164" spans="2:2" ht="15">
      <c r="B164" s="3"/>
    </row>
    <row r="165" spans="2:2" ht="15">
      <c r="B165" s="3"/>
    </row>
    <row r="166" spans="2:2" ht="15">
      <c r="B166" s="3"/>
    </row>
    <row r="167" spans="2:2" ht="15">
      <c r="B167" s="3"/>
    </row>
    <row r="168" spans="2:2" ht="15">
      <c r="B168" s="3"/>
    </row>
    <row r="169" spans="2:2" ht="15">
      <c r="B169" s="3"/>
    </row>
    <row r="170" spans="2:2" ht="15">
      <c r="B170" s="3"/>
    </row>
    <row r="171" spans="2:2" ht="15">
      <c r="B171" s="3"/>
    </row>
    <row r="172" spans="2:2" ht="15">
      <c r="B172" s="3"/>
    </row>
    <row r="173" spans="2:2" ht="15">
      <c r="B173" s="3"/>
    </row>
    <row r="174" spans="2:2" ht="15">
      <c r="B174" s="3"/>
    </row>
    <row r="175" spans="2:2" ht="15">
      <c r="B175" s="3"/>
    </row>
    <row r="176" spans="2:2" ht="15">
      <c r="B176" s="3"/>
    </row>
    <row r="177" spans="2:2" ht="15">
      <c r="B177" s="3"/>
    </row>
    <row r="178" spans="2:2" ht="15">
      <c r="B178" s="3"/>
    </row>
    <row r="179" spans="2:2" ht="15">
      <c r="B179" s="3"/>
    </row>
    <row r="180" spans="2:2" ht="15">
      <c r="B180" s="3"/>
    </row>
    <row r="181" spans="2:2" ht="15">
      <c r="B181" s="3"/>
    </row>
    <row r="182" spans="2:2" ht="15">
      <c r="B182" s="3"/>
    </row>
    <row r="183" spans="2:2" ht="15">
      <c r="B183" s="3"/>
    </row>
    <row r="184" spans="2:2" ht="15">
      <c r="B184" s="3"/>
    </row>
    <row r="185" spans="2:2" ht="15">
      <c r="B185" s="3"/>
    </row>
    <row r="186" spans="2:2" ht="15">
      <c r="B186" s="3"/>
    </row>
    <row r="187" spans="2:2" ht="15">
      <c r="B187" s="3"/>
    </row>
    <row r="188" spans="2:2" ht="15">
      <c r="B188" s="3"/>
    </row>
    <row r="189" spans="2:2" ht="15">
      <c r="B189" s="3"/>
    </row>
    <row r="190" spans="2:2" ht="15">
      <c r="B190" s="3"/>
    </row>
    <row r="191" spans="2:2" ht="15">
      <c r="B191" s="3"/>
    </row>
    <row r="192" spans="2:2" ht="15">
      <c r="B192" s="3"/>
    </row>
    <row r="193" spans="2:2" ht="15">
      <c r="B193" s="3"/>
    </row>
    <row r="194" spans="2:2" ht="15">
      <c r="B194" s="3"/>
    </row>
    <row r="195" spans="2:2" ht="15">
      <c r="B195" s="3"/>
    </row>
    <row r="196" spans="2:2" ht="15">
      <c r="B196" s="3"/>
    </row>
    <row r="197" spans="2:2" ht="15">
      <c r="B197" s="3"/>
    </row>
    <row r="198" spans="2:2" ht="15">
      <c r="B198" s="3"/>
    </row>
    <row r="199" spans="2:2" ht="15">
      <c r="B199" s="3"/>
    </row>
    <row r="200" spans="2:2" ht="15">
      <c r="B200" s="3"/>
    </row>
    <row r="201" spans="2:2" ht="15">
      <c r="B201" s="3"/>
    </row>
    <row r="202" spans="2:2" ht="15">
      <c r="B202" s="3"/>
    </row>
    <row r="203" spans="2:2" ht="15">
      <c r="B203" s="3"/>
    </row>
    <row r="204" spans="2:2" ht="15">
      <c r="B204" s="3"/>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dimension ref="A1:J203"/>
  <sheetViews>
    <sheetView showGridLines="0" workbookViewId="0">
      <selection activeCell="F4" sqref="F4"/>
    </sheetView>
  </sheetViews>
  <sheetFormatPr defaultRowHeight="26.25"/>
  <cols>
    <col min="1" max="1" width="3.42578125" style="3" customWidth="1"/>
    <col min="2" max="2" width="12.7109375" style="114" customWidth="1"/>
    <col min="3" max="9" width="15.85546875" style="3" customWidth="1"/>
    <col min="10" max="10" width="11.5703125" style="3" customWidth="1"/>
    <col min="11" max="26" width="10.28515625" style="3" customWidth="1"/>
    <col min="27" max="29" width="10" style="3" customWidth="1"/>
    <col min="30" max="16384" width="9.140625" style="3"/>
  </cols>
  <sheetData>
    <row r="1" spans="1:10" ht="30">
      <c r="A1" s="113" t="s">
        <v>1759</v>
      </c>
      <c r="E1" s="637" t="s">
        <v>2056</v>
      </c>
      <c r="I1" s="114" t="s">
        <v>1770</v>
      </c>
    </row>
    <row r="2" spans="1:10" ht="30">
      <c r="A2" s="115" t="s">
        <v>423</v>
      </c>
      <c r="E2" s="313">
        <f>DMIN(B8:J76,J8,I1:I2)</f>
        <v>0</v>
      </c>
      <c r="I2" s="114" t="s">
        <v>1771</v>
      </c>
    </row>
    <row r="3" spans="1:10">
      <c r="A3" s="19"/>
      <c r="B3" s="118"/>
    </row>
    <row r="5" spans="1:10" ht="18">
      <c r="B5" s="119" t="s">
        <v>1772</v>
      </c>
      <c r="C5" s="120"/>
      <c r="D5" s="120"/>
      <c r="E5" s="120"/>
      <c r="F5" s="121"/>
      <c r="G5" s="121"/>
      <c r="H5" s="121"/>
      <c r="I5" s="120"/>
      <c r="J5" s="122"/>
    </row>
    <row r="6" spans="1:10" ht="18">
      <c r="B6" s="123" t="s">
        <v>1773</v>
      </c>
      <c r="C6" s="124"/>
      <c r="D6" s="124"/>
      <c r="E6" s="124"/>
      <c r="F6" s="125"/>
      <c r="G6" s="125"/>
      <c r="H6" s="125"/>
      <c r="I6" s="124"/>
      <c r="J6" s="126"/>
    </row>
    <row r="7" spans="1:10" ht="18" hidden="1">
      <c r="B7" s="127"/>
      <c r="C7" s="128"/>
      <c r="D7" s="128"/>
      <c r="E7" s="128"/>
      <c r="F7" s="129"/>
      <c r="G7" s="129"/>
      <c r="H7" s="129"/>
      <c r="I7" s="128"/>
    </row>
    <row r="8" spans="1:10" ht="39" customHeight="1" thickBot="1">
      <c r="B8" s="130" t="s">
        <v>1770</v>
      </c>
      <c r="C8" s="130" t="s">
        <v>176</v>
      </c>
      <c r="D8" s="130" t="s">
        <v>175</v>
      </c>
      <c r="E8" s="130" t="s">
        <v>264</v>
      </c>
      <c r="F8" s="131" t="s">
        <v>1774</v>
      </c>
      <c r="G8" s="131" t="s">
        <v>1775</v>
      </c>
      <c r="H8" s="132" t="s">
        <v>1776</v>
      </c>
      <c r="I8" s="133" t="s">
        <v>1777</v>
      </c>
      <c r="J8" s="133" t="s">
        <v>1778</v>
      </c>
    </row>
    <row r="9" spans="1:10" ht="18" customHeight="1">
      <c r="B9" s="134" t="s">
        <v>1771</v>
      </c>
      <c r="C9" s="134" t="s">
        <v>1779</v>
      </c>
      <c r="D9" s="134" t="s">
        <v>1780</v>
      </c>
      <c r="E9" s="134" t="s">
        <v>1781</v>
      </c>
      <c r="F9" s="135">
        <v>47520</v>
      </c>
      <c r="G9" s="135">
        <v>45619.199999999997</v>
      </c>
      <c r="H9" s="135">
        <f t="shared" ref="H9:H72" si="0">F9-G9</f>
        <v>1900.8000000000029</v>
      </c>
      <c r="I9" s="136">
        <v>0.247</v>
      </c>
      <c r="J9" s="137">
        <v>6</v>
      </c>
    </row>
    <row r="10" spans="1:10" ht="18" customHeight="1">
      <c r="B10" s="134" t="s">
        <v>1771</v>
      </c>
      <c r="C10" s="134" t="s">
        <v>1779</v>
      </c>
      <c r="D10" s="134" t="s">
        <v>1780</v>
      </c>
      <c r="E10" s="134" t="s">
        <v>1782</v>
      </c>
      <c r="F10" s="135">
        <v>91463.039999999994</v>
      </c>
      <c r="G10" s="135">
        <v>72255.801599999992</v>
      </c>
      <c r="H10" s="135">
        <f t="shared" si="0"/>
        <v>19207.238400000002</v>
      </c>
      <c r="I10" s="136">
        <v>0.35599999999999998</v>
      </c>
      <c r="J10" s="137">
        <v>8</v>
      </c>
    </row>
    <row r="11" spans="1:10" ht="18" customHeight="1">
      <c r="B11" s="134" t="s">
        <v>1771</v>
      </c>
      <c r="C11" s="134" t="s">
        <v>1779</v>
      </c>
      <c r="D11" s="134" t="s">
        <v>1780</v>
      </c>
      <c r="E11" s="134" t="s">
        <v>1781</v>
      </c>
      <c r="F11" s="135">
        <v>356040</v>
      </c>
      <c r="G11" s="135">
        <v>259909.2</v>
      </c>
      <c r="H11" s="135">
        <f t="shared" si="0"/>
        <v>96130.799999999988</v>
      </c>
      <c r="I11" s="136">
        <v>0.255</v>
      </c>
      <c r="J11" s="137">
        <v>2</v>
      </c>
    </row>
    <row r="12" spans="1:10" ht="18" customHeight="1">
      <c r="B12" s="134" t="s">
        <v>1771</v>
      </c>
      <c r="C12" s="134" t="s">
        <v>1779</v>
      </c>
      <c r="D12" s="134" t="s">
        <v>1780</v>
      </c>
      <c r="E12" s="134" t="s">
        <v>1782</v>
      </c>
      <c r="F12" s="135">
        <v>154275.84</v>
      </c>
      <c r="G12" s="135">
        <v>143476.5312</v>
      </c>
      <c r="H12" s="135">
        <f t="shared" si="0"/>
        <v>10799.308799999999</v>
      </c>
      <c r="I12" s="136">
        <v>0.65</v>
      </c>
      <c r="J12" s="137">
        <v>9</v>
      </c>
    </row>
    <row r="13" spans="1:10" ht="18" customHeight="1">
      <c r="B13" s="134" t="s">
        <v>1771</v>
      </c>
      <c r="C13" s="134" t="s">
        <v>1779</v>
      </c>
      <c r="D13" s="134" t="s">
        <v>1780</v>
      </c>
      <c r="E13" s="134" t="s">
        <v>1781</v>
      </c>
      <c r="F13" s="135">
        <v>113923.584</v>
      </c>
      <c r="G13" s="135">
        <v>93417.338879999996</v>
      </c>
      <c r="H13" s="135">
        <f t="shared" si="0"/>
        <v>20506.245120000007</v>
      </c>
      <c r="I13" s="136">
        <v>0.255</v>
      </c>
      <c r="J13" s="137">
        <v>6</v>
      </c>
    </row>
    <row r="14" spans="1:10" ht="18" customHeight="1">
      <c r="B14" s="134" t="s">
        <v>1771</v>
      </c>
      <c r="C14" s="134" t="s">
        <v>1779</v>
      </c>
      <c r="D14" s="134" t="s">
        <v>1783</v>
      </c>
      <c r="E14" s="134" t="s">
        <v>1782</v>
      </c>
      <c r="F14" s="135">
        <v>94936.320000000007</v>
      </c>
      <c r="G14" s="135">
        <v>77847.782399999996</v>
      </c>
      <c r="H14" s="135">
        <f t="shared" si="0"/>
        <v>17088.537600000011</v>
      </c>
      <c r="I14" s="136">
        <v>0.315</v>
      </c>
      <c r="J14" s="137">
        <v>9</v>
      </c>
    </row>
    <row r="15" spans="1:10" ht="18" customHeight="1">
      <c r="B15" s="134" t="s">
        <v>1771</v>
      </c>
      <c r="C15" s="134" t="s">
        <v>1779</v>
      </c>
      <c r="D15" s="134" t="s">
        <v>1783</v>
      </c>
      <c r="E15" s="134" t="s">
        <v>1781</v>
      </c>
      <c r="F15" s="135">
        <v>90305.279999999999</v>
      </c>
      <c r="G15" s="135">
        <v>70438.118399999992</v>
      </c>
      <c r="H15" s="135">
        <f t="shared" si="0"/>
        <v>19867.161600000007</v>
      </c>
      <c r="I15" s="136">
        <v>0.255</v>
      </c>
      <c r="J15" s="137"/>
    </row>
    <row r="16" spans="1:10" ht="18" customHeight="1">
      <c r="B16" s="134" t="s">
        <v>1771</v>
      </c>
      <c r="C16" s="134" t="s">
        <v>1779</v>
      </c>
      <c r="D16" s="134" t="s">
        <v>1783</v>
      </c>
      <c r="E16" s="134" t="s">
        <v>1782</v>
      </c>
      <c r="F16" s="135">
        <v>394275.84000000003</v>
      </c>
      <c r="G16" s="135">
        <v>366676.53120000003</v>
      </c>
      <c r="H16" s="135">
        <f t="shared" si="0"/>
        <v>27599.308799999999</v>
      </c>
      <c r="I16" s="136">
        <v>0.154</v>
      </c>
      <c r="J16" s="137">
        <v>0</v>
      </c>
    </row>
    <row r="17" spans="2:10" ht="18" customHeight="1">
      <c r="B17" s="134" t="s">
        <v>1771</v>
      </c>
      <c r="C17" s="134" t="s">
        <v>1779</v>
      </c>
      <c r="D17" s="134" t="s">
        <v>1783</v>
      </c>
      <c r="E17" s="134" t="s">
        <v>1781</v>
      </c>
      <c r="F17" s="135">
        <v>116121.60000000001</v>
      </c>
      <c r="G17" s="135">
        <v>84768.767999999996</v>
      </c>
      <c r="H17" s="135">
        <f t="shared" si="0"/>
        <v>31352.832000000009</v>
      </c>
      <c r="I17" s="136">
        <v>0.13400000000000001</v>
      </c>
      <c r="J17" s="137">
        <v>3</v>
      </c>
    </row>
    <row r="18" spans="2:10" ht="18" customHeight="1">
      <c r="B18" s="134" t="s">
        <v>1771</v>
      </c>
      <c r="C18" s="134" t="s">
        <v>1779</v>
      </c>
      <c r="D18" s="134" t="s">
        <v>1784</v>
      </c>
      <c r="E18" s="134" t="s">
        <v>1781</v>
      </c>
      <c r="F18" s="135">
        <v>92620.800000000003</v>
      </c>
      <c r="G18" s="135">
        <v>82432.511999999988</v>
      </c>
      <c r="H18" s="135">
        <f t="shared" si="0"/>
        <v>10188.288000000015</v>
      </c>
      <c r="I18" s="136">
        <v>0.187</v>
      </c>
      <c r="J18" s="137">
        <v>3</v>
      </c>
    </row>
    <row r="19" spans="2:10" ht="18" customHeight="1">
      <c r="B19" s="134" t="s">
        <v>1771</v>
      </c>
      <c r="C19" s="134" t="s">
        <v>1779</v>
      </c>
      <c r="D19" s="134" t="s">
        <v>1784</v>
      </c>
      <c r="E19" s="134" t="s">
        <v>1782</v>
      </c>
      <c r="F19" s="135">
        <v>69465.600000000006</v>
      </c>
      <c r="G19" s="135">
        <v>66686.975999999995</v>
      </c>
      <c r="H19" s="135">
        <f t="shared" si="0"/>
        <v>2778.6240000000107</v>
      </c>
      <c r="I19" s="136">
        <v>0.54400000000000004</v>
      </c>
      <c r="J19" s="137">
        <v>9</v>
      </c>
    </row>
    <row r="20" spans="2:10" ht="18" customHeight="1">
      <c r="B20" s="134" t="s">
        <v>1771</v>
      </c>
      <c r="C20" s="134" t="s">
        <v>1779</v>
      </c>
      <c r="D20" s="134" t="s">
        <v>1784</v>
      </c>
      <c r="E20" s="134" t="s">
        <v>1781</v>
      </c>
      <c r="F20" s="135">
        <v>261004.79999999999</v>
      </c>
      <c r="G20" s="135">
        <v>221854.07999999999</v>
      </c>
      <c r="H20" s="135">
        <f t="shared" si="0"/>
        <v>39150.720000000001</v>
      </c>
      <c r="I20" s="136">
        <v>0.23300000000000001</v>
      </c>
      <c r="J20" s="137">
        <v>6</v>
      </c>
    </row>
    <row r="21" spans="2:10" ht="18" customHeight="1">
      <c r="B21" s="134" t="s">
        <v>1771</v>
      </c>
      <c r="C21" s="134" t="s">
        <v>1779</v>
      </c>
      <c r="D21" s="134" t="s">
        <v>1784</v>
      </c>
      <c r="E21" s="134" t="s">
        <v>1782</v>
      </c>
      <c r="F21" s="135">
        <v>57024</v>
      </c>
      <c r="G21" s="135">
        <v>54743.040000000001</v>
      </c>
      <c r="H21" s="135">
        <f t="shared" si="0"/>
        <v>2280.9599999999991</v>
      </c>
      <c r="I21" s="136">
        <v>0.56399999999999995</v>
      </c>
      <c r="J21" s="137">
        <v>8</v>
      </c>
    </row>
    <row r="22" spans="2:10" ht="18" customHeight="1">
      <c r="B22" s="134" t="s">
        <v>1785</v>
      </c>
      <c r="C22" s="134" t="s">
        <v>1786</v>
      </c>
      <c r="D22" s="134" t="s">
        <v>1787</v>
      </c>
      <c r="E22" s="134" t="s">
        <v>1782</v>
      </c>
      <c r="F22" s="135">
        <v>181988</v>
      </c>
      <c r="G22" s="135">
        <v>205646.44</v>
      </c>
      <c r="H22" s="135">
        <f t="shared" si="0"/>
        <v>-23658.440000000002</v>
      </c>
      <c r="I22" s="136">
        <v>0.432</v>
      </c>
      <c r="J22" s="137">
        <v>2</v>
      </c>
    </row>
    <row r="23" spans="2:10" ht="18" customHeight="1">
      <c r="B23" s="134" t="s">
        <v>1785</v>
      </c>
      <c r="C23" s="134" t="s">
        <v>1786</v>
      </c>
      <c r="D23" s="134" t="s">
        <v>1787</v>
      </c>
      <c r="E23" s="134" t="s">
        <v>1782</v>
      </c>
      <c r="F23" s="135">
        <v>121197.6</v>
      </c>
      <c r="G23" s="135">
        <v>112713.76800000001</v>
      </c>
      <c r="H23" s="135">
        <f t="shared" si="0"/>
        <v>8483.8319999999949</v>
      </c>
      <c r="I23" s="136">
        <v>0.154</v>
      </c>
      <c r="J23" s="137">
        <v>4</v>
      </c>
    </row>
    <row r="24" spans="2:10" ht="18" customHeight="1">
      <c r="B24" s="134" t="s">
        <v>1785</v>
      </c>
      <c r="C24" s="134" t="s">
        <v>1786</v>
      </c>
      <c r="D24" s="134" t="s">
        <v>1787</v>
      </c>
      <c r="E24" s="134" t="s">
        <v>1781</v>
      </c>
      <c r="F24" s="135">
        <v>432900</v>
      </c>
      <c r="G24" s="135">
        <v>367965</v>
      </c>
      <c r="H24" s="135">
        <f t="shared" si="0"/>
        <v>64935</v>
      </c>
      <c r="I24" s="136">
        <v>0.247</v>
      </c>
      <c r="J24" s="137">
        <v>2</v>
      </c>
    </row>
    <row r="25" spans="2:10" ht="18" customHeight="1">
      <c r="B25" s="134" t="s">
        <v>1785</v>
      </c>
      <c r="C25" s="134" t="s">
        <v>1786</v>
      </c>
      <c r="D25" s="134" t="s">
        <v>1787</v>
      </c>
      <c r="E25" s="134" t="s">
        <v>1781</v>
      </c>
      <c r="F25" s="135">
        <v>96768</v>
      </c>
      <c r="G25" s="135">
        <v>70640.639999999999</v>
      </c>
      <c r="H25" s="135">
        <f t="shared" si="0"/>
        <v>26127.360000000001</v>
      </c>
      <c r="I25" s="136">
        <v>0.318</v>
      </c>
      <c r="J25" s="137">
        <v>2</v>
      </c>
    </row>
    <row r="26" spans="2:10" ht="18" customHeight="1">
      <c r="B26" s="134" t="s">
        <v>1785</v>
      </c>
      <c r="C26" s="134" t="s">
        <v>1788</v>
      </c>
      <c r="D26" s="134" t="s">
        <v>1789</v>
      </c>
      <c r="E26" s="134" t="s">
        <v>1782</v>
      </c>
      <c r="F26" s="135">
        <v>121197.6</v>
      </c>
      <c r="G26" s="135">
        <v>112713.76800000001</v>
      </c>
      <c r="H26" s="135">
        <f t="shared" si="0"/>
        <v>8483.8319999999949</v>
      </c>
      <c r="I26" s="136">
        <v>0.45</v>
      </c>
      <c r="J26" s="137">
        <v>13</v>
      </c>
    </row>
    <row r="27" spans="2:10" ht="18" customHeight="1">
      <c r="B27" s="134" t="s">
        <v>1785</v>
      </c>
      <c r="C27" s="134" t="s">
        <v>1788</v>
      </c>
      <c r="D27" s="134" t="s">
        <v>1789</v>
      </c>
      <c r="E27" s="134" t="s">
        <v>1782</v>
      </c>
      <c r="F27" s="135">
        <v>121197.6</v>
      </c>
      <c r="G27" s="135">
        <v>112713.76800000001</v>
      </c>
      <c r="H27" s="135">
        <f t="shared" si="0"/>
        <v>8483.8319999999949</v>
      </c>
      <c r="I27" s="136">
        <v>0.23300000000000001</v>
      </c>
      <c r="J27" s="137"/>
    </row>
    <row r="28" spans="2:10" ht="18" customHeight="1">
      <c r="B28" s="134" t="s">
        <v>1785</v>
      </c>
      <c r="C28" s="134" t="s">
        <v>1788</v>
      </c>
      <c r="D28" s="134" t="s">
        <v>1789</v>
      </c>
      <c r="E28" s="134" t="s">
        <v>1782</v>
      </c>
      <c r="F28" s="135">
        <v>110772</v>
      </c>
      <c r="G28" s="135">
        <v>94156.2</v>
      </c>
      <c r="H28" s="135">
        <f t="shared" si="0"/>
        <v>16615.800000000003</v>
      </c>
      <c r="I28" s="136">
        <v>0.39800000000000002</v>
      </c>
      <c r="J28" s="137">
        <v>9</v>
      </c>
    </row>
    <row r="29" spans="2:10" ht="18" customHeight="1">
      <c r="B29" s="134" t="s">
        <v>1785</v>
      </c>
      <c r="C29" s="134" t="s">
        <v>1786</v>
      </c>
      <c r="D29" s="134" t="s">
        <v>1790</v>
      </c>
      <c r="E29" s="134" t="s">
        <v>1781</v>
      </c>
      <c r="F29" s="135">
        <v>128563.2</v>
      </c>
      <c r="G29" s="135">
        <v>119563.776</v>
      </c>
      <c r="H29" s="135">
        <f t="shared" si="0"/>
        <v>8999.4239999999991</v>
      </c>
      <c r="I29" s="136">
        <v>0.39800000000000002</v>
      </c>
      <c r="J29" s="137">
        <v>8</v>
      </c>
    </row>
    <row r="30" spans="2:10" ht="18" customHeight="1">
      <c r="B30" s="134" t="s">
        <v>1785</v>
      </c>
      <c r="C30" s="134" t="s">
        <v>1786</v>
      </c>
      <c r="D30" s="134" t="s">
        <v>1790</v>
      </c>
      <c r="E30" s="134" t="s">
        <v>1781</v>
      </c>
      <c r="F30" s="135">
        <v>128563.2</v>
      </c>
      <c r="G30" s="135">
        <v>119563.776</v>
      </c>
      <c r="H30" s="135">
        <f t="shared" si="0"/>
        <v>8999.4239999999991</v>
      </c>
      <c r="I30" s="136">
        <v>0.23300000000000001</v>
      </c>
      <c r="J30" s="137">
        <v>1</v>
      </c>
    </row>
    <row r="31" spans="2:10" ht="18" customHeight="1">
      <c r="B31" s="134" t="s">
        <v>1785</v>
      </c>
      <c r="C31" s="134" t="s">
        <v>1786</v>
      </c>
      <c r="D31" s="134" t="s">
        <v>1791</v>
      </c>
      <c r="E31" s="134" t="s">
        <v>1781</v>
      </c>
      <c r="F31" s="135">
        <v>76032</v>
      </c>
      <c r="G31" s="135">
        <v>75271.679999999993</v>
      </c>
      <c r="H31" s="135">
        <f t="shared" si="0"/>
        <v>760.32000000000698</v>
      </c>
      <c r="I31" s="136">
        <v>0.65</v>
      </c>
      <c r="J31" s="137">
        <v>4</v>
      </c>
    </row>
    <row r="32" spans="2:10" ht="18" customHeight="1">
      <c r="B32" s="134" t="s">
        <v>1785</v>
      </c>
      <c r="C32" s="134" t="s">
        <v>1788</v>
      </c>
      <c r="D32" s="134" t="s">
        <v>1792</v>
      </c>
      <c r="E32" s="134" t="s">
        <v>1782</v>
      </c>
      <c r="F32" s="135">
        <v>110772</v>
      </c>
      <c r="G32" s="135">
        <v>125172.36</v>
      </c>
      <c r="H32" s="135">
        <f t="shared" si="0"/>
        <v>-14400.36</v>
      </c>
      <c r="I32" s="136">
        <v>0.23300000000000001</v>
      </c>
      <c r="J32" s="137"/>
    </row>
    <row r="33" spans="2:10" ht="18" customHeight="1">
      <c r="B33" s="134" t="s">
        <v>1785</v>
      </c>
      <c r="C33" s="134" t="s">
        <v>1788</v>
      </c>
      <c r="D33" s="134" t="s">
        <v>1792</v>
      </c>
      <c r="E33" s="134" t="s">
        <v>1782</v>
      </c>
      <c r="F33" s="135">
        <v>110772</v>
      </c>
      <c r="G33" s="135">
        <v>125172.36</v>
      </c>
      <c r="H33" s="135">
        <f t="shared" si="0"/>
        <v>-14400.36</v>
      </c>
      <c r="I33" s="136">
        <v>0.318</v>
      </c>
      <c r="J33" s="137">
        <v>1</v>
      </c>
    </row>
    <row r="34" spans="2:10" ht="18" customHeight="1">
      <c r="B34" s="134" t="s">
        <v>1785</v>
      </c>
      <c r="C34" s="134" t="s">
        <v>1788</v>
      </c>
      <c r="D34" s="134" t="s">
        <v>1792</v>
      </c>
      <c r="E34" s="134" t="s">
        <v>1782</v>
      </c>
      <c r="F34" s="135">
        <v>91224</v>
      </c>
      <c r="G34" s="135">
        <v>66593.52</v>
      </c>
      <c r="H34" s="135">
        <f t="shared" si="0"/>
        <v>24630.479999999996</v>
      </c>
      <c r="I34" s="136">
        <v>0.65</v>
      </c>
      <c r="J34" s="137">
        <v>6</v>
      </c>
    </row>
    <row r="35" spans="2:10" ht="18" customHeight="1">
      <c r="B35" s="134" t="s">
        <v>1785</v>
      </c>
      <c r="C35" s="134" t="s">
        <v>1788</v>
      </c>
      <c r="D35" s="134" t="s">
        <v>1792</v>
      </c>
      <c r="E35" s="134" t="s">
        <v>1782</v>
      </c>
      <c r="F35" s="135">
        <v>91224</v>
      </c>
      <c r="G35" s="135">
        <v>127713.60000000001</v>
      </c>
      <c r="H35" s="135">
        <f t="shared" si="0"/>
        <v>-36489.600000000006</v>
      </c>
      <c r="I35" s="136">
        <v>0.247</v>
      </c>
      <c r="J35" s="137">
        <v>4</v>
      </c>
    </row>
    <row r="36" spans="2:10" ht="18" customHeight="1">
      <c r="B36" s="134" t="s">
        <v>1785</v>
      </c>
      <c r="C36" s="134" t="s">
        <v>1788</v>
      </c>
      <c r="D36" s="134" t="s">
        <v>1792</v>
      </c>
      <c r="E36" s="134" t="s">
        <v>1782</v>
      </c>
      <c r="F36" s="135">
        <v>71676</v>
      </c>
      <c r="G36" s="135">
        <v>70959.240000000005</v>
      </c>
      <c r="H36" s="135">
        <f t="shared" si="0"/>
        <v>716.75999999999476</v>
      </c>
      <c r="I36" s="136">
        <v>0.13400000000000001</v>
      </c>
      <c r="J36" s="137">
        <v>9</v>
      </c>
    </row>
    <row r="37" spans="2:10" ht="18" customHeight="1">
      <c r="B37" s="134" t="s">
        <v>1785</v>
      </c>
      <c r="C37" s="134" t="s">
        <v>1788</v>
      </c>
      <c r="D37" s="134" t="s">
        <v>1792</v>
      </c>
      <c r="E37" s="134" t="s">
        <v>1781</v>
      </c>
      <c r="F37" s="135">
        <v>217504</v>
      </c>
      <c r="G37" s="135">
        <v>184878.4</v>
      </c>
      <c r="H37" s="135">
        <f t="shared" si="0"/>
        <v>32625.600000000006</v>
      </c>
      <c r="I37" s="136">
        <v>0.23300000000000001</v>
      </c>
      <c r="J37" s="137">
        <v>9</v>
      </c>
    </row>
    <row r="38" spans="2:10" ht="18" customHeight="1">
      <c r="B38" s="134" t="s">
        <v>1785</v>
      </c>
      <c r="C38" s="134" t="s">
        <v>1788</v>
      </c>
      <c r="D38" s="134" t="s">
        <v>1792</v>
      </c>
      <c r="E38" s="134" t="s">
        <v>1781</v>
      </c>
      <c r="F38" s="135">
        <v>128563.2</v>
      </c>
      <c r="G38" s="135">
        <v>119563.776</v>
      </c>
      <c r="H38" s="135">
        <f t="shared" si="0"/>
        <v>8999.4239999999991</v>
      </c>
      <c r="I38" s="136">
        <v>0.154</v>
      </c>
      <c r="J38" s="137">
        <v>3</v>
      </c>
    </row>
    <row r="39" spans="2:10" ht="18" customHeight="1">
      <c r="B39" s="134" t="s">
        <v>1793</v>
      </c>
      <c r="C39" s="134" t="s">
        <v>1779</v>
      </c>
      <c r="D39" s="134" t="s">
        <v>1780</v>
      </c>
      <c r="E39" s="134" t="s">
        <v>1794</v>
      </c>
      <c r="F39" s="135">
        <v>94936.320000000007</v>
      </c>
      <c r="G39" s="135">
        <v>77847.782399999996</v>
      </c>
      <c r="H39" s="135">
        <f t="shared" si="0"/>
        <v>17088.537600000011</v>
      </c>
      <c r="I39" s="136">
        <v>0.56399999999999995</v>
      </c>
      <c r="J39" s="137">
        <v>8</v>
      </c>
    </row>
    <row r="40" spans="2:10" ht="18" customHeight="1">
      <c r="B40" s="134" t="s">
        <v>1793</v>
      </c>
      <c r="C40" s="134" t="s">
        <v>1779</v>
      </c>
      <c r="D40" s="134" t="s">
        <v>1780</v>
      </c>
      <c r="E40" s="134" t="s">
        <v>1795</v>
      </c>
      <c r="F40" s="135">
        <v>90305.279999999999</v>
      </c>
      <c r="G40" s="135">
        <v>70438.118399999992</v>
      </c>
      <c r="H40" s="135">
        <f t="shared" si="0"/>
        <v>19867.161600000007</v>
      </c>
      <c r="I40" s="138">
        <v>0.26500000000000001</v>
      </c>
      <c r="J40" s="137">
        <v>2</v>
      </c>
    </row>
    <row r="41" spans="2:10" ht="18" customHeight="1">
      <c r="B41" s="134" t="s">
        <v>1793</v>
      </c>
      <c r="C41" s="134" t="s">
        <v>1779</v>
      </c>
      <c r="D41" s="134" t="s">
        <v>1780</v>
      </c>
      <c r="E41" s="134" t="s">
        <v>1794</v>
      </c>
      <c r="F41" s="135">
        <v>519480</v>
      </c>
      <c r="G41" s="135">
        <v>441558</v>
      </c>
      <c r="H41" s="135">
        <f t="shared" si="0"/>
        <v>77922</v>
      </c>
      <c r="I41" s="136">
        <v>0.39800000000000002</v>
      </c>
      <c r="J41" s="137">
        <v>6</v>
      </c>
    </row>
    <row r="42" spans="2:10" ht="18" customHeight="1">
      <c r="B42" s="134" t="s">
        <v>1793</v>
      </c>
      <c r="C42" s="134" t="s">
        <v>1779</v>
      </c>
      <c r="D42" s="134" t="s">
        <v>1780</v>
      </c>
      <c r="E42" s="134" t="s">
        <v>1795</v>
      </c>
      <c r="F42" s="135">
        <v>91238.399999999994</v>
      </c>
      <c r="G42" s="135">
        <v>90326.015999999989</v>
      </c>
      <c r="H42" s="135">
        <f t="shared" si="0"/>
        <v>912.38400000000547</v>
      </c>
      <c r="I42" s="136">
        <v>0.315</v>
      </c>
      <c r="J42" s="137">
        <v>9</v>
      </c>
    </row>
    <row r="43" spans="2:10" ht="18" customHeight="1">
      <c r="B43" s="134" t="s">
        <v>1793</v>
      </c>
      <c r="C43" s="134" t="s">
        <v>1779</v>
      </c>
      <c r="D43" s="134" t="s">
        <v>1783</v>
      </c>
      <c r="E43" s="134" t="s">
        <v>1795</v>
      </c>
      <c r="F43" s="135">
        <v>92620.800000000003</v>
      </c>
      <c r="G43" s="135">
        <v>104661.504</v>
      </c>
      <c r="H43" s="135">
        <f t="shared" si="0"/>
        <v>-12040.703999999998</v>
      </c>
      <c r="I43" s="136">
        <v>0.255</v>
      </c>
      <c r="J43" s="137">
        <v>9</v>
      </c>
    </row>
    <row r="44" spans="2:10" ht="18" customHeight="1">
      <c r="B44" s="134" t="s">
        <v>1793</v>
      </c>
      <c r="C44" s="134" t="s">
        <v>1779</v>
      </c>
      <c r="D44" s="134" t="s">
        <v>1783</v>
      </c>
      <c r="E44" s="134" t="s">
        <v>1794</v>
      </c>
      <c r="F44" s="135">
        <v>69465.600000000006</v>
      </c>
      <c r="G44" s="135">
        <v>66686.975999999995</v>
      </c>
      <c r="H44" s="135">
        <f t="shared" si="0"/>
        <v>2778.6240000000107</v>
      </c>
      <c r="I44" s="136">
        <v>0.56399999999999995</v>
      </c>
      <c r="J44" s="137">
        <v>8</v>
      </c>
    </row>
    <row r="45" spans="2:10" ht="18" customHeight="1">
      <c r="B45" s="134" t="s">
        <v>1793</v>
      </c>
      <c r="C45" s="134" t="s">
        <v>1779</v>
      </c>
      <c r="D45" s="134" t="s">
        <v>1783</v>
      </c>
      <c r="E45" s="134" t="s">
        <v>1795</v>
      </c>
      <c r="F45" s="135">
        <v>154275.84</v>
      </c>
      <c r="G45" s="135">
        <v>143476.5312</v>
      </c>
      <c r="H45" s="135">
        <f t="shared" si="0"/>
        <v>10799.308799999999</v>
      </c>
      <c r="I45" s="136">
        <v>0.318</v>
      </c>
      <c r="J45" s="137">
        <v>4</v>
      </c>
    </row>
    <row r="46" spans="2:10" ht="18" customHeight="1">
      <c r="B46" s="134" t="s">
        <v>1793</v>
      </c>
      <c r="C46" s="134" t="s">
        <v>1779</v>
      </c>
      <c r="D46" s="134" t="s">
        <v>1783</v>
      </c>
      <c r="E46" s="134" t="s">
        <v>1794</v>
      </c>
      <c r="F46" s="135">
        <v>113923.584</v>
      </c>
      <c r="G46" s="135">
        <v>93417.338879999996</v>
      </c>
      <c r="H46" s="135">
        <f t="shared" si="0"/>
        <v>20506.245120000007</v>
      </c>
      <c r="I46" s="136">
        <v>0.187</v>
      </c>
      <c r="J46" s="137">
        <v>5</v>
      </c>
    </row>
    <row r="47" spans="2:10" ht="18" customHeight="1">
      <c r="B47" s="134" t="s">
        <v>1793</v>
      </c>
      <c r="C47" s="134" t="s">
        <v>1779</v>
      </c>
      <c r="D47" s="134" t="s">
        <v>1784</v>
      </c>
      <c r="E47" s="134" t="s">
        <v>1795</v>
      </c>
      <c r="F47" s="135">
        <v>94936.320000000007</v>
      </c>
      <c r="G47" s="135">
        <v>77847.782399999996</v>
      </c>
      <c r="H47" s="135">
        <f t="shared" si="0"/>
        <v>17088.537600000011</v>
      </c>
      <c r="I47" s="136">
        <v>0.13400000000000001</v>
      </c>
      <c r="J47" s="137">
        <v>4</v>
      </c>
    </row>
    <row r="48" spans="2:10" ht="18" customHeight="1">
      <c r="B48" s="134" t="s">
        <v>1793</v>
      </c>
      <c r="C48" s="134" t="s">
        <v>1779</v>
      </c>
      <c r="D48" s="134" t="s">
        <v>1784</v>
      </c>
      <c r="E48" s="134" t="s">
        <v>1794</v>
      </c>
      <c r="F48" s="135">
        <v>91463.039999999994</v>
      </c>
      <c r="G48" s="135">
        <v>72255.801599999992</v>
      </c>
      <c r="H48" s="135">
        <f t="shared" si="0"/>
        <v>19207.238400000002</v>
      </c>
      <c r="I48" s="136">
        <v>0.27600000000000002</v>
      </c>
      <c r="J48" s="137">
        <v>5</v>
      </c>
    </row>
    <row r="49" spans="2:10" ht="18" customHeight="1">
      <c r="B49" s="134" t="s">
        <v>1793</v>
      </c>
      <c r="C49" s="134" t="s">
        <v>1779</v>
      </c>
      <c r="D49" s="134" t="s">
        <v>1784</v>
      </c>
      <c r="E49" s="134" t="s">
        <v>1795</v>
      </c>
      <c r="F49" s="135">
        <v>1447185.6</v>
      </c>
      <c r="G49" s="135">
        <v>1287995.1840000001</v>
      </c>
      <c r="H49" s="135">
        <f t="shared" si="0"/>
        <v>159190.41599999997</v>
      </c>
      <c r="I49" s="136">
        <v>0.23300000000000001</v>
      </c>
      <c r="J49" s="137">
        <v>9</v>
      </c>
    </row>
    <row r="50" spans="2:10" ht="18" customHeight="1">
      <c r="B50" s="134" t="s">
        <v>1793</v>
      </c>
      <c r="C50" s="134" t="s">
        <v>1779</v>
      </c>
      <c r="D50" s="134" t="s">
        <v>1784</v>
      </c>
      <c r="E50" s="134" t="s">
        <v>1794</v>
      </c>
      <c r="F50" s="135">
        <v>154275.84</v>
      </c>
      <c r="G50" s="135">
        <v>143476.5312</v>
      </c>
      <c r="H50" s="135">
        <f t="shared" si="0"/>
        <v>10799.308799999999</v>
      </c>
      <c r="I50" s="136">
        <v>0.247</v>
      </c>
      <c r="J50" s="137">
        <v>8</v>
      </c>
    </row>
    <row r="51" spans="2:10" ht="18" customHeight="1">
      <c r="B51" s="134" t="s">
        <v>1793</v>
      </c>
      <c r="C51" s="134" t="s">
        <v>1779</v>
      </c>
      <c r="D51" s="134" t="s">
        <v>1784</v>
      </c>
      <c r="E51" s="134" t="s">
        <v>1795</v>
      </c>
      <c r="F51" s="135">
        <v>113923.584</v>
      </c>
      <c r="G51" s="135">
        <v>93417.338879999996</v>
      </c>
      <c r="H51" s="135">
        <f t="shared" si="0"/>
        <v>20506.245120000007</v>
      </c>
      <c r="I51" s="136">
        <v>0.35599999999999998</v>
      </c>
      <c r="J51" s="137">
        <v>2</v>
      </c>
    </row>
    <row r="52" spans="2:10" ht="18" customHeight="1">
      <c r="B52" s="134" t="s">
        <v>1796</v>
      </c>
      <c r="C52" s="134" t="s">
        <v>1786</v>
      </c>
      <c r="D52" s="134" t="s">
        <v>1787</v>
      </c>
      <c r="E52" s="134" t="s">
        <v>1781</v>
      </c>
      <c r="F52" s="135">
        <v>1205988</v>
      </c>
      <c r="G52" s="135">
        <v>1073329.32</v>
      </c>
      <c r="H52" s="135">
        <f t="shared" si="0"/>
        <v>132658.67999999993</v>
      </c>
      <c r="I52" s="136">
        <v>0.432</v>
      </c>
      <c r="J52" s="137">
        <v>10</v>
      </c>
    </row>
    <row r="53" spans="2:10" ht="18" customHeight="1">
      <c r="B53" s="134" t="s">
        <v>1796</v>
      </c>
      <c r="C53" s="134" t="s">
        <v>1786</v>
      </c>
      <c r="D53" s="134" t="s">
        <v>1787</v>
      </c>
      <c r="E53" s="134" t="s">
        <v>1781</v>
      </c>
      <c r="F53" s="135">
        <f>128563.2+200000</f>
        <v>328563.20000000001</v>
      </c>
      <c r="G53" s="135">
        <v>305563.77600000001</v>
      </c>
      <c r="H53" s="135">
        <f t="shared" si="0"/>
        <v>22999.423999999999</v>
      </c>
      <c r="I53" s="138">
        <v>0.39800000000000002</v>
      </c>
      <c r="J53" s="137">
        <v>3</v>
      </c>
    </row>
    <row r="54" spans="2:10" ht="18" customHeight="1">
      <c r="B54" s="134" t="s">
        <v>1797</v>
      </c>
      <c r="C54" s="134" t="s">
        <v>1786</v>
      </c>
      <c r="D54" s="134" t="s">
        <v>1787</v>
      </c>
      <c r="E54" s="134" t="s">
        <v>1782</v>
      </c>
      <c r="F54" s="135">
        <v>71676</v>
      </c>
      <c r="G54" s="135">
        <v>70959.240000000005</v>
      </c>
      <c r="H54" s="135">
        <f t="shared" si="0"/>
        <v>716.75999999999476</v>
      </c>
      <c r="I54" s="136">
        <v>0.53300000000000003</v>
      </c>
      <c r="J54" s="137">
        <v>1</v>
      </c>
    </row>
    <row r="55" spans="2:10" ht="18" customHeight="1">
      <c r="B55" s="134" t="s">
        <v>1797</v>
      </c>
      <c r="C55" s="134" t="s">
        <v>1786</v>
      </c>
      <c r="D55" s="134" t="s">
        <v>1787</v>
      </c>
      <c r="E55" s="134" t="s">
        <v>1794</v>
      </c>
      <c r="F55" s="135">
        <v>51480</v>
      </c>
      <c r="G55" s="135">
        <v>58172.4</v>
      </c>
      <c r="H55" s="135">
        <f t="shared" si="0"/>
        <v>-6692.4000000000015</v>
      </c>
      <c r="I55" s="138">
        <v>0.26500000000000001</v>
      </c>
      <c r="J55" s="137">
        <v>9</v>
      </c>
    </row>
    <row r="56" spans="2:10" ht="18" customHeight="1">
      <c r="B56" s="134" t="s">
        <v>1797</v>
      </c>
      <c r="C56" s="134" t="s">
        <v>1786</v>
      </c>
      <c r="D56" s="134" t="s">
        <v>1787</v>
      </c>
      <c r="E56" s="134" t="s">
        <v>1794</v>
      </c>
      <c r="F56" s="135">
        <v>39600</v>
      </c>
      <c r="G56" s="135">
        <v>38016</v>
      </c>
      <c r="H56" s="135">
        <f t="shared" si="0"/>
        <v>1584</v>
      </c>
      <c r="I56" s="136">
        <v>0.56399999999999995</v>
      </c>
      <c r="J56" s="137">
        <v>2</v>
      </c>
    </row>
    <row r="57" spans="2:10" ht="18" customHeight="1">
      <c r="B57" s="134" t="s">
        <v>1797</v>
      </c>
      <c r="C57" s="134" t="s">
        <v>1786</v>
      </c>
      <c r="D57" s="134" t="s">
        <v>1787</v>
      </c>
      <c r="E57" s="134" t="s">
        <v>1795</v>
      </c>
      <c r="F57" s="135">
        <v>79113.600000000006</v>
      </c>
      <c r="G57" s="135">
        <v>64873.152000000002</v>
      </c>
      <c r="H57" s="135">
        <f t="shared" si="0"/>
        <v>14240.448000000004</v>
      </c>
      <c r="I57" s="136">
        <v>0.27600000000000002</v>
      </c>
      <c r="J57" s="137">
        <v>0</v>
      </c>
    </row>
    <row r="58" spans="2:10" ht="18" customHeight="1">
      <c r="B58" s="134" t="s">
        <v>1797</v>
      </c>
      <c r="C58" s="134" t="s">
        <v>1786</v>
      </c>
      <c r="D58" s="134" t="s">
        <v>1787</v>
      </c>
      <c r="E58" s="134" t="s">
        <v>1795</v>
      </c>
      <c r="F58" s="135">
        <v>79113.600000000006</v>
      </c>
      <c r="G58" s="135">
        <v>64873.152000000002</v>
      </c>
      <c r="H58" s="135">
        <f t="shared" si="0"/>
        <v>14240.448000000004</v>
      </c>
      <c r="I58" s="136">
        <v>0.54400000000000004</v>
      </c>
      <c r="J58" s="137">
        <v>6</v>
      </c>
    </row>
    <row r="59" spans="2:10" ht="18" customHeight="1">
      <c r="B59" s="134" t="s">
        <v>1797</v>
      </c>
      <c r="C59" s="134" t="s">
        <v>1786</v>
      </c>
      <c r="D59" s="134" t="s">
        <v>1787</v>
      </c>
      <c r="E59" s="134" t="s">
        <v>1795</v>
      </c>
      <c r="F59" s="135">
        <v>57888</v>
      </c>
      <c r="G59" s="135">
        <v>55572.480000000003</v>
      </c>
      <c r="H59" s="135">
        <f t="shared" si="0"/>
        <v>2315.5199999999968</v>
      </c>
      <c r="I59" s="136">
        <v>0.315</v>
      </c>
      <c r="J59" s="137">
        <v>5</v>
      </c>
    </row>
    <row r="60" spans="2:10" ht="18" customHeight="1">
      <c r="B60" s="134" t="s">
        <v>1797</v>
      </c>
      <c r="C60" s="134" t="s">
        <v>1786</v>
      </c>
      <c r="D60" s="134" t="s">
        <v>1787</v>
      </c>
      <c r="E60" s="134" t="s">
        <v>1795</v>
      </c>
      <c r="F60" s="135">
        <v>57888</v>
      </c>
      <c r="G60" s="135">
        <v>55572.480000000003</v>
      </c>
      <c r="H60" s="135">
        <f t="shared" si="0"/>
        <v>2315.5199999999968</v>
      </c>
      <c r="I60" s="136">
        <v>0.187</v>
      </c>
      <c r="J60" s="137">
        <v>3</v>
      </c>
    </row>
    <row r="61" spans="2:10" ht="18" customHeight="1">
      <c r="B61" s="134" t="s">
        <v>1797</v>
      </c>
      <c r="C61" s="134" t="s">
        <v>1788</v>
      </c>
      <c r="D61" s="134" t="s">
        <v>1789</v>
      </c>
      <c r="E61" s="134" t="s">
        <v>1794</v>
      </c>
      <c r="F61" s="135">
        <v>52800</v>
      </c>
      <c r="G61" s="135">
        <v>59664</v>
      </c>
      <c r="H61" s="135">
        <f t="shared" si="0"/>
        <v>-6864</v>
      </c>
      <c r="I61" s="136">
        <v>0.255</v>
      </c>
      <c r="J61" s="137">
        <v>8</v>
      </c>
    </row>
    <row r="62" spans="2:10" ht="18" customHeight="1">
      <c r="B62" s="134" t="s">
        <v>1797</v>
      </c>
      <c r="C62" s="134" t="s">
        <v>1788</v>
      </c>
      <c r="D62" s="134" t="s">
        <v>1789</v>
      </c>
      <c r="E62" s="134" t="s">
        <v>1794</v>
      </c>
      <c r="F62" s="135">
        <v>52140</v>
      </c>
      <c r="G62" s="135">
        <v>41190.6</v>
      </c>
      <c r="H62" s="135">
        <f t="shared" si="0"/>
        <v>10949.400000000001</v>
      </c>
      <c r="I62" s="136">
        <v>0.35599999999999998</v>
      </c>
      <c r="J62" s="137">
        <v>5</v>
      </c>
    </row>
    <row r="63" spans="2:10" ht="18" customHeight="1">
      <c r="B63" s="134" t="s">
        <v>1797</v>
      </c>
      <c r="C63" s="134" t="s">
        <v>1788</v>
      </c>
      <c r="D63" s="134" t="s">
        <v>1789</v>
      </c>
      <c r="E63" s="134" t="s">
        <v>1794</v>
      </c>
      <c r="F63" s="135">
        <v>52140</v>
      </c>
      <c r="G63" s="135">
        <v>41190.6</v>
      </c>
      <c r="H63" s="135">
        <f t="shared" si="0"/>
        <v>10949.400000000001</v>
      </c>
      <c r="I63" s="136">
        <v>0.27600000000000002</v>
      </c>
      <c r="J63" s="137">
        <v>6</v>
      </c>
    </row>
    <row r="64" spans="2:10" ht="18" customHeight="1">
      <c r="B64" s="134" t="s">
        <v>1797</v>
      </c>
      <c r="C64" s="134" t="s">
        <v>1788</v>
      </c>
      <c r="D64" s="134" t="s">
        <v>1789</v>
      </c>
      <c r="E64" s="134" t="s">
        <v>1795</v>
      </c>
      <c r="F64" s="135">
        <v>77184</v>
      </c>
      <c r="G64" s="135">
        <v>68693.759999999995</v>
      </c>
      <c r="H64" s="135">
        <f t="shared" si="0"/>
        <v>8490.2400000000052</v>
      </c>
      <c r="I64" s="136">
        <v>0.255</v>
      </c>
      <c r="J64" s="137">
        <v>5</v>
      </c>
    </row>
    <row r="65" spans="2:10" ht="18" customHeight="1">
      <c r="B65" s="134" t="s">
        <v>1797</v>
      </c>
      <c r="C65" s="134" t="s">
        <v>1788</v>
      </c>
      <c r="D65" s="134" t="s">
        <v>1789</v>
      </c>
      <c r="E65" s="134" t="s">
        <v>1795</v>
      </c>
      <c r="F65" s="135">
        <v>77184</v>
      </c>
      <c r="G65" s="135">
        <v>87217.919999999998</v>
      </c>
      <c r="H65" s="135">
        <f t="shared" si="0"/>
        <v>-10033.919999999998</v>
      </c>
      <c r="I65" s="136">
        <v>0.56399999999999995</v>
      </c>
      <c r="J65" s="137">
        <v>5</v>
      </c>
    </row>
    <row r="66" spans="2:10" ht="18" customHeight="1">
      <c r="B66" s="134" t="s">
        <v>1797</v>
      </c>
      <c r="C66" s="134" t="s">
        <v>1788</v>
      </c>
      <c r="D66" s="134" t="s">
        <v>1789</v>
      </c>
      <c r="E66" s="134" t="s">
        <v>1795</v>
      </c>
      <c r="F66" s="135">
        <v>76219.199999999997</v>
      </c>
      <c r="G66" s="135">
        <v>60213.167999999998</v>
      </c>
      <c r="H66" s="135">
        <f t="shared" si="0"/>
        <v>16006.031999999999</v>
      </c>
      <c r="I66" s="136">
        <v>0.54400000000000004</v>
      </c>
      <c r="J66" s="137">
        <v>1</v>
      </c>
    </row>
    <row r="67" spans="2:10" ht="18" customHeight="1">
      <c r="B67" s="134" t="s">
        <v>1797</v>
      </c>
      <c r="C67" s="134" t="s">
        <v>1788</v>
      </c>
      <c r="D67" s="134" t="s">
        <v>1789</v>
      </c>
      <c r="E67" s="134" t="s">
        <v>1795</v>
      </c>
      <c r="F67" s="135">
        <v>75254.399999999994</v>
      </c>
      <c r="G67" s="135">
        <v>58698.432000000001</v>
      </c>
      <c r="H67" s="135">
        <f t="shared" si="0"/>
        <v>16555.967999999993</v>
      </c>
      <c r="I67" s="136">
        <v>0.255</v>
      </c>
      <c r="J67" s="137">
        <v>9</v>
      </c>
    </row>
    <row r="68" spans="2:10" ht="18" customHeight="1">
      <c r="B68" s="134" t="s">
        <v>1797</v>
      </c>
      <c r="C68" s="134" t="s">
        <v>1786</v>
      </c>
      <c r="D68" s="134" t="s">
        <v>1790</v>
      </c>
      <c r="E68" s="134" t="s">
        <v>1794</v>
      </c>
      <c r="F68" s="135">
        <v>52800</v>
      </c>
      <c r="G68" s="135">
        <v>46992</v>
      </c>
      <c r="H68" s="135">
        <f t="shared" si="0"/>
        <v>5808</v>
      </c>
      <c r="I68" s="136">
        <v>0.187</v>
      </c>
      <c r="J68" s="137">
        <v>9</v>
      </c>
    </row>
    <row r="69" spans="2:10" ht="18" customHeight="1">
      <c r="B69" s="134" t="s">
        <v>1797</v>
      </c>
      <c r="C69" s="134" t="s">
        <v>1786</v>
      </c>
      <c r="D69" s="134" t="s">
        <v>1790</v>
      </c>
      <c r="E69" s="134" t="s">
        <v>1795</v>
      </c>
      <c r="F69" s="135">
        <v>76219.199999999997</v>
      </c>
      <c r="G69" s="135">
        <v>60213.167999999998</v>
      </c>
      <c r="H69" s="135">
        <f t="shared" si="0"/>
        <v>16006.031999999999</v>
      </c>
      <c r="I69" s="136">
        <v>0.26500000000000001</v>
      </c>
      <c r="J69" s="137">
        <v>7</v>
      </c>
    </row>
    <row r="70" spans="2:10" ht="18" customHeight="1">
      <c r="B70" s="134" t="s">
        <v>1797</v>
      </c>
      <c r="C70" s="134" t="s">
        <v>1786</v>
      </c>
      <c r="D70" s="134" t="s">
        <v>1790</v>
      </c>
      <c r="E70" s="134" t="s">
        <v>1795</v>
      </c>
      <c r="F70" s="135">
        <v>75254.399999999994</v>
      </c>
      <c r="G70" s="135">
        <v>58698.432000000001</v>
      </c>
      <c r="H70" s="135">
        <f t="shared" si="0"/>
        <v>16555.967999999993</v>
      </c>
      <c r="I70" s="136">
        <v>0.35599999999999998</v>
      </c>
      <c r="J70" s="137">
        <v>5</v>
      </c>
    </row>
    <row r="71" spans="2:10" ht="18" customHeight="1">
      <c r="B71" s="134" t="s">
        <v>1797</v>
      </c>
      <c r="C71" s="134" t="s">
        <v>1786</v>
      </c>
      <c r="D71" s="134" t="s">
        <v>1790</v>
      </c>
      <c r="E71" s="134" t="s">
        <v>1781</v>
      </c>
      <c r="F71" s="135">
        <v>296700</v>
      </c>
      <c r="G71" s="135">
        <v>216591</v>
      </c>
      <c r="H71" s="135">
        <f t="shared" si="0"/>
        <v>80109</v>
      </c>
      <c r="I71" s="136">
        <v>0.23300000000000001</v>
      </c>
      <c r="J71" s="137">
        <v>1</v>
      </c>
    </row>
    <row r="72" spans="2:10" ht="18" customHeight="1">
      <c r="B72" s="134" t="s">
        <v>1797</v>
      </c>
      <c r="C72" s="134" t="s">
        <v>1788</v>
      </c>
      <c r="D72" s="134" t="s">
        <v>1792</v>
      </c>
      <c r="E72" s="134" t="s">
        <v>1794</v>
      </c>
      <c r="F72" s="135">
        <v>54120</v>
      </c>
      <c r="G72" s="135">
        <v>44378.400000000001</v>
      </c>
      <c r="H72" s="135">
        <f t="shared" si="0"/>
        <v>9741.5999999999985</v>
      </c>
      <c r="I72" s="136">
        <v>0.315</v>
      </c>
      <c r="J72" s="137">
        <v>8</v>
      </c>
    </row>
    <row r="73" spans="2:10" ht="18" customHeight="1">
      <c r="B73" s="134" t="s">
        <v>1797</v>
      </c>
      <c r="C73" s="134" t="s">
        <v>1788</v>
      </c>
      <c r="D73" s="134" t="s">
        <v>1792</v>
      </c>
      <c r="E73" s="134" t="s">
        <v>1794</v>
      </c>
      <c r="F73" s="135">
        <v>54120</v>
      </c>
      <c r="G73" s="135">
        <v>44378.400000000001</v>
      </c>
      <c r="H73" s="135">
        <f>F73-G73</f>
        <v>9741.5999999999985</v>
      </c>
      <c r="I73" s="136">
        <v>0.56399999999999995</v>
      </c>
      <c r="J73" s="137">
        <v>3</v>
      </c>
    </row>
    <row r="74" spans="2:10" ht="18" customHeight="1">
      <c r="B74" s="134" t="s">
        <v>1797</v>
      </c>
      <c r="C74" s="134" t="s">
        <v>1788</v>
      </c>
      <c r="D74" s="134" t="s">
        <v>1792</v>
      </c>
      <c r="E74" s="134" t="s">
        <v>1794</v>
      </c>
      <c r="F74" s="135">
        <v>51480</v>
      </c>
      <c r="G74" s="135">
        <v>40154.400000000001</v>
      </c>
      <c r="H74" s="135">
        <f>F74-G74</f>
        <v>11325.599999999999</v>
      </c>
      <c r="I74" s="136">
        <v>0.255</v>
      </c>
      <c r="J74" s="137">
        <v>2</v>
      </c>
    </row>
    <row r="75" spans="2:10" ht="18" customHeight="1">
      <c r="B75" s="134" t="s">
        <v>1797</v>
      </c>
      <c r="C75" s="134" t="s">
        <v>1788</v>
      </c>
      <c r="D75" s="134" t="s">
        <v>1792</v>
      </c>
      <c r="E75" s="134" t="s">
        <v>1794</v>
      </c>
      <c r="F75" s="135">
        <v>39600</v>
      </c>
      <c r="G75" s="135">
        <v>38016</v>
      </c>
      <c r="H75" s="135">
        <f>F75-G75</f>
        <v>1584</v>
      </c>
      <c r="I75" s="136">
        <v>0.54400000000000004</v>
      </c>
      <c r="J75" s="137">
        <v>8</v>
      </c>
    </row>
    <row r="76" spans="2:10" ht="18" customHeight="1">
      <c r="B76" s="134" t="s">
        <v>1797</v>
      </c>
      <c r="C76" s="134" t="s">
        <v>1788</v>
      </c>
      <c r="D76" s="134" t="s">
        <v>1792</v>
      </c>
      <c r="E76" s="134" t="s">
        <v>1795</v>
      </c>
      <c r="F76" s="135">
        <v>79113.600000000006</v>
      </c>
      <c r="G76" s="135">
        <v>64873.152000000002</v>
      </c>
      <c r="H76" s="135">
        <f>F76-G76</f>
        <v>14240.448000000004</v>
      </c>
      <c r="I76" s="136">
        <v>0.255</v>
      </c>
      <c r="J76" s="137">
        <v>9</v>
      </c>
    </row>
    <row r="77" spans="2:10" s="317" customFormat="1" ht="18" customHeight="1">
      <c r="B77" s="201"/>
      <c r="C77" s="201"/>
      <c r="D77" s="201"/>
      <c r="E77" s="201"/>
      <c r="F77" s="314"/>
      <c r="G77" s="314"/>
      <c r="H77" s="314"/>
      <c r="I77" s="315"/>
      <c r="J77" s="316"/>
    </row>
    <row r="78" spans="2:10" ht="15">
      <c r="B78" s="3"/>
    </row>
    <row r="79" spans="2:10" ht="15">
      <c r="B79" s="3"/>
    </row>
    <row r="80" spans="2:10" ht="15">
      <c r="B80" s="3"/>
    </row>
    <row r="81" spans="2:2" ht="15">
      <c r="B81" s="3"/>
    </row>
    <row r="82" spans="2:2" ht="15">
      <c r="B82" s="3"/>
    </row>
    <row r="83" spans="2:2" ht="15">
      <c r="B83" s="3"/>
    </row>
    <row r="84" spans="2:2" ht="15">
      <c r="B84" s="3"/>
    </row>
    <row r="85" spans="2:2" ht="15">
      <c r="B85" s="3"/>
    </row>
    <row r="86" spans="2:2" ht="15">
      <c r="B86" s="3"/>
    </row>
    <row r="87" spans="2:2" ht="15">
      <c r="B87" s="3"/>
    </row>
    <row r="88" spans="2:2" ht="15">
      <c r="B88" s="3"/>
    </row>
    <row r="89" spans="2:2" ht="15">
      <c r="B89" s="3"/>
    </row>
    <row r="90" spans="2:2" ht="15">
      <c r="B90" s="3"/>
    </row>
    <row r="91" spans="2:2" ht="15">
      <c r="B91" s="3"/>
    </row>
    <row r="92" spans="2:2" ht="15">
      <c r="B92" s="3"/>
    </row>
    <row r="93" spans="2:2" ht="15">
      <c r="B93" s="3"/>
    </row>
    <row r="94" spans="2:2" ht="15">
      <c r="B94" s="3"/>
    </row>
    <row r="95" spans="2:2" ht="15">
      <c r="B95" s="3"/>
    </row>
    <row r="96" spans="2:2" ht="15">
      <c r="B96" s="3"/>
    </row>
    <row r="97" spans="2:2" ht="15">
      <c r="B97" s="3"/>
    </row>
    <row r="98" spans="2:2" ht="15">
      <c r="B98" s="3"/>
    </row>
    <row r="99" spans="2:2" ht="15">
      <c r="B99" s="3"/>
    </row>
    <row r="100" spans="2:2" ht="15">
      <c r="B100" s="3"/>
    </row>
    <row r="101" spans="2:2" ht="15">
      <c r="B101" s="3"/>
    </row>
    <row r="102" spans="2:2" ht="15">
      <c r="B102" s="3"/>
    </row>
    <row r="103" spans="2:2" ht="15">
      <c r="B103" s="3"/>
    </row>
    <row r="104" spans="2:2" ht="15">
      <c r="B104" s="3"/>
    </row>
    <row r="105" spans="2:2" ht="15">
      <c r="B105" s="3"/>
    </row>
    <row r="106" spans="2:2" ht="15">
      <c r="B106" s="3"/>
    </row>
    <row r="107" spans="2:2" ht="15">
      <c r="B107" s="3"/>
    </row>
    <row r="108" spans="2:2" ht="15">
      <c r="B108" s="3"/>
    </row>
    <row r="109" spans="2:2" ht="15">
      <c r="B109" s="3"/>
    </row>
    <row r="110" spans="2:2" ht="15">
      <c r="B110" s="3"/>
    </row>
    <row r="111" spans="2:2" ht="15">
      <c r="B111" s="3"/>
    </row>
    <row r="112" spans="2:2" ht="15">
      <c r="B112" s="3"/>
    </row>
    <row r="113" spans="2:2" ht="15">
      <c r="B113" s="3"/>
    </row>
    <row r="114" spans="2:2" ht="15">
      <c r="B114" s="3"/>
    </row>
    <row r="115" spans="2:2" ht="15">
      <c r="B115" s="3"/>
    </row>
    <row r="116" spans="2:2" ht="15">
      <c r="B116" s="3"/>
    </row>
    <row r="117" spans="2:2" ht="15">
      <c r="B117" s="3"/>
    </row>
    <row r="118" spans="2:2" ht="15">
      <c r="B118" s="3"/>
    </row>
    <row r="119" spans="2:2" ht="15">
      <c r="B119" s="3"/>
    </row>
    <row r="120" spans="2:2" ht="15">
      <c r="B120" s="3"/>
    </row>
    <row r="121" spans="2:2" ht="15">
      <c r="B121" s="3"/>
    </row>
    <row r="122" spans="2:2" ht="15">
      <c r="B122" s="3"/>
    </row>
    <row r="123" spans="2:2" ht="15">
      <c r="B123" s="3"/>
    </row>
    <row r="124" spans="2:2" ht="15">
      <c r="B124" s="3"/>
    </row>
    <row r="125" spans="2:2" ht="15">
      <c r="B125" s="3"/>
    </row>
    <row r="126" spans="2:2" ht="15">
      <c r="B126" s="3"/>
    </row>
    <row r="127" spans="2:2" ht="15">
      <c r="B127" s="3"/>
    </row>
    <row r="128" spans="2:2" ht="15">
      <c r="B128" s="3"/>
    </row>
    <row r="129" spans="2:2" ht="15">
      <c r="B129" s="3"/>
    </row>
    <row r="130" spans="2:2" ht="15">
      <c r="B130" s="3"/>
    </row>
    <row r="131" spans="2:2" ht="15">
      <c r="B131" s="3"/>
    </row>
    <row r="132" spans="2:2" ht="15">
      <c r="B132" s="3"/>
    </row>
    <row r="133" spans="2:2" ht="15">
      <c r="B133" s="3"/>
    </row>
    <row r="134" spans="2:2" ht="15">
      <c r="B134" s="3"/>
    </row>
    <row r="135" spans="2:2" ht="15">
      <c r="B135" s="3"/>
    </row>
    <row r="136" spans="2:2" ht="15">
      <c r="B136" s="3"/>
    </row>
    <row r="137" spans="2:2" ht="15">
      <c r="B137" s="3"/>
    </row>
    <row r="138" spans="2:2" ht="15">
      <c r="B138" s="3"/>
    </row>
    <row r="139" spans="2:2" ht="15">
      <c r="B139" s="3"/>
    </row>
    <row r="140" spans="2:2" ht="15">
      <c r="B140" s="3"/>
    </row>
    <row r="141" spans="2:2" ht="15">
      <c r="B141" s="3"/>
    </row>
    <row r="142" spans="2:2" ht="15">
      <c r="B142" s="3"/>
    </row>
    <row r="143" spans="2:2" ht="15">
      <c r="B143" s="3"/>
    </row>
    <row r="144" spans="2:2" ht="15">
      <c r="B144" s="3"/>
    </row>
    <row r="145" spans="2:2" ht="15">
      <c r="B145" s="3"/>
    </row>
    <row r="146" spans="2:2" ht="15">
      <c r="B146" s="3"/>
    </row>
    <row r="147" spans="2:2" ht="15">
      <c r="B147" s="3"/>
    </row>
    <row r="148" spans="2:2" ht="15">
      <c r="B148" s="3"/>
    </row>
    <row r="149" spans="2:2" ht="15">
      <c r="B149" s="3"/>
    </row>
    <row r="150" spans="2:2" ht="15">
      <c r="B150" s="3"/>
    </row>
    <row r="151" spans="2:2" ht="15">
      <c r="B151" s="3"/>
    </row>
    <row r="152" spans="2:2" ht="15">
      <c r="B152" s="3"/>
    </row>
    <row r="153" spans="2:2" ht="15">
      <c r="B153" s="3"/>
    </row>
    <row r="154" spans="2:2" ht="15">
      <c r="B154" s="3"/>
    </row>
    <row r="155" spans="2:2" ht="15">
      <c r="B155" s="3"/>
    </row>
    <row r="156" spans="2:2" ht="15">
      <c r="B156" s="3"/>
    </row>
    <row r="157" spans="2:2" ht="15">
      <c r="B157" s="3"/>
    </row>
    <row r="158" spans="2:2" ht="15">
      <c r="B158" s="3"/>
    </row>
    <row r="159" spans="2:2" ht="15">
      <c r="B159" s="3"/>
    </row>
    <row r="160" spans="2:2" ht="15">
      <c r="B160" s="3"/>
    </row>
    <row r="161" spans="2:2" ht="15">
      <c r="B161" s="3"/>
    </row>
    <row r="162" spans="2:2" ht="15">
      <c r="B162" s="3"/>
    </row>
    <row r="163" spans="2:2" ht="15">
      <c r="B163" s="3"/>
    </row>
    <row r="164" spans="2:2" ht="15">
      <c r="B164" s="3"/>
    </row>
    <row r="165" spans="2:2" ht="15">
      <c r="B165" s="3"/>
    </row>
    <row r="166" spans="2:2" ht="15">
      <c r="B166" s="3"/>
    </row>
    <row r="167" spans="2:2" ht="15">
      <c r="B167" s="3"/>
    </row>
    <row r="168" spans="2:2" ht="15">
      <c r="B168" s="3"/>
    </row>
    <row r="169" spans="2:2" ht="15">
      <c r="B169" s="3"/>
    </row>
    <row r="170" spans="2:2" ht="15">
      <c r="B170" s="3"/>
    </row>
    <row r="171" spans="2:2" ht="15">
      <c r="B171" s="3"/>
    </row>
    <row r="172" spans="2:2" ht="15">
      <c r="B172" s="3"/>
    </row>
    <row r="173" spans="2:2" ht="15">
      <c r="B173" s="3"/>
    </row>
    <row r="174" spans="2:2" ht="15">
      <c r="B174" s="3"/>
    </row>
    <row r="175" spans="2:2" ht="15">
      <c r="B175" s="3"/>
    </row>
    <row r="176" spans="2:2" ht="15">
      <c r="B176" s="3"/>
    </row>
    <row r="177" spans="2:2" ht="15">
      <c r="B177" s="3"/>
    </row>
    <row r="178" spans="2:2" ht="15">
      <c r="B178" s="3"/>
    </row>
    <row r="179" spans="2:2" ht="15">
      <c r="B179" s="3"/>
    </row>
    <row r="180" spans="2:2" ht="15">
      <c r="B180" s="3"/>
    </row>
    <row r="181" spans="2:2" ht="15">
      <c r="B181" s="3"/>
    </row>
    <row r="182" spans="2:2" ht="15">
      <c r="B182" s="3"/>
    </row>
    <row r="183" spans="2:2" ht="15">
      <c r="B183" s="3"/>
    </row>
    <row r="184" spans="2:2" ht="15">
      <c r="B184" s="3"/>
    </row>
    <row r="185" spans="2:2" ht="15">
      <c r="B185" s="3"/>
    </row>
    <row r="186" spans="2:2" ht="15">
      <c r="B186" s="3"/>
    </row>
    <row r="187" spans="2:2" ht="15">
      <c r="B187" s="3"/>
    </row>
    <row r="188" spans="2:2" ht="15">
      <c r="B188" s="3"/>
    </row>
    <row r="189" spans="2:2" ht="15">
      <c r="B189" s="3"/>
    </row>
    <row r="190" spans="2:2" ht="15">
      <c r="B190" s="3"/>
    </row>
    <row r="191" spans="2:2" ht="15">
      <c r="B191" s="3"/>
    </row>
    <row r="192" spans="2:2" ht="15">
      <c r="B192" s="3"/>
    </row>
    <row r="193" spans="2:2" ht="15">
      <c r="B193" s="3"/>
    </row>
    <row r="194" spans="2:2" ht="15">
      <c r="B194" s="3"/>
    </row>
    <row r="195" spans="2:2" ht="15">
      <c r="B195" s="3"/>
    </row>
    <row r="196" spans="2:2" ht="15">
      <c r="B196" s="3"/>
    </row>
    <row r="197" spans="2:2" ht="15">
      <c r="B197" s="3"/>
    </row>
    <row r="198" spans="2:2" ht="15">
      <c r="B198" s="3"/>
    </row>
    <row r="199" spans="2:2" ht="15">
      <c r="B199" s="3"/>
    </row>
    <row r="200" spans="2:2" ht="15">
      <c r="B200" s="3"/>
    </row>
    <row r="201" spans="2:2" ht="15">
      <c r="B201" s="3"/>
    </row>
    <row r="202" spans="2:2" ht="15">
      <c r="B202" s="3"/>
    </row>
    <row r="203" spans="2:2" ht="15">
      <c r="B203" s="3"/>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dimension ref="A1:J205"/>
  <sheetViews>
    <sheetView showGridLines="0" workbookViewId="0">
      <selection activeCell="F4" sqref="F4"/>
    </sheetView>
  </sheetViews>
  <sheetFormatPr defaultRowHeight="26.25"/>
  <cols>
    <col min="1" max="1" width="3.42578125" style="3" customWidth="1"/>
    <col min="2" max="2" width="10.7109375" style="114" bestFit="1" customWidth="1"/>
    <col min="3" max="3" width="9.42578125" style="3" bestFit="1" customWidth="1"/>
    <col min="4" max="4" width="11.7109375" style="3" bestFit="1" customWidth="1"/>
    <col min="5" max="5" width="12.140625" style="3" bestFit="1" customWidth="1"/>
    <col min="6" max="7" width="13.85546875" style="3" bestFit="1" customWidth="1"/>
    <col min="8" max="8" width="12.140625" style="3" bestFit="1" customWidth="1"/>
    <col min="9" max="9" width="10.85546875" style="3" bestFit="1" customWidth="1"/>
    <col min="10" max="10" width="8.140625" style="3" bestFit="1" customWidth="1"/>
    <col min="11" max="26" width="10.28515625" style="3" customWidth="1"/>
    <col min="27" max="29" width="10" style="3" customWidth="1"/>
    <col min="30" max="16384" width="9.140625" style="3"/>
  </cols>
  <sheetData>
    <row r="1" spans="1:10">
      <c r="A1" s="312" t="s">
        <v>1807</v>
      </c>
      <c r="E1" s="637" t="s">
        <v>2056</v>
      </c>
      <c r="I1" s="114"/>
    </row>
    <row r="2" spans="1:10">
      <c r="A2" s="288"/>
      <c r="I2" s="114"/>
    </row>
    <row r="3" spans="1:10" ht="18" customHeight="1">
      <c r="A3" s="288"/>
      <c r="C3" s="150" t="s">
        <v>1803</v>
      </c>
      <c r="D3" s="290"/>
      <c r="E3" s="290"/>
      <c r="F3" s="291">
        <f>MEDIAN(F10:F78)</f>
        <v>91463.039999999994</v>
      </c>
      <c r="G3" s="291">
        <f t="shared" ref="G3:J3" si="0">MEDIAN(G10:G78)</f>
        <v>77847.782399999996</v>
      </c>
      <c r="H3" s="291">
        <f t="shared" si="0"/>
        <v>10799.308799999999</v>
      </c>
      <c r="I3" s="292">
        <f t="shared" si="0"/>
        <v>0.26500000000000001</v>
      </c>
      <c r="J3" s="291">
        <f t="shared" si="0"/>
        <v>5</v>
      </c>
    </row>
    <row r="4" spans="1:10" ht="18" customHeight="1">
      <c r="A4" s="115"/>
      <c r="C4" s="177" t="s">
        <v>1800</v>
      </c>
      <c r="F4" s="297">
        <f>MAX(F9:F78)</f>
        <v>1447185.6</v>
      </c>
      <c r="G4" s="297">
        <f t="shared" ref="G4:J4" si="1">MAX(G9:G78)</f>
        <v>1443556</v>
      </c>
      <c r="H4" s="297">
        <f t="shared" si="1"/>
        <v>548108</v>
      </c>
      <c r="I4" s="298">
        <f t="shared" si="1"/>
        <v>0.754</v>
      </c>
      <c r="J4" s="297">
        <f t="shared" si="1"/>
        <v>13</v>
      </c>
    </row>
    <row r="5" spans="1:10" ht="18" customHeight="1">
      <c r="A5" s="19"/>
      <c r="B5" s="118"/>
      <c r="C5" s="299" t="s">
        <v>1802</v>
      </c>
      <c r="D5" s="294"/>
      <c r="E5" s="294"/>
      <c r="F5" s="295">
        <f>MIN(F11:F78)</f>
        <v>39600</v>
      </c>
      <c r="G5" s="295">
        <f t="shared" ref="G5:J5" si="2">MIN(G11:G78)</f>
        <v>38016</v>
      </c>
      <c r="H5" s="295">
        <f t="shared" si="2"/>
        <v>-924076</v>
      </c>
      <c r="I5" s="296">
        <f t="shared" si="2"/>
        <v>0.13400000000000001</v>
      </c>
      <c r="J5" s="295">
        <f t="shared" si="2"/>
        <v>0</v>
      </c>
    </row>
    <row r="7" spans="1:10" ht="18">
      <c r="B7" s="119" t="s">
        <v>1772</v>
      </c>
      <c r="C7" s="120"/>
      <c r="D7" s="120"/>
      <c r="E7" s="120"/>
      <c r="F7" s="121"/>
      <c r="G7" s="121"/>
      <c r="H7" s="121"/>
      <c r="I7" s="120"/>
      <c r="J7" s="122"/>
    </row>
    <row r="8" spans="1:10" ht="18">
      <c r="B8" s="276" t="s">
        <v>1799</v>
      </c>
      <c r="C8" s="124"/>
      <c r="D8" s="124"/>
      <c r="E8" s="124"/>
      <c r="F8" s="125"/>
      <c r="G8" s="125"/>
      <c r="H8" s="125"/>
      <c r="I8" s="124"/>
      <c r="J8" s="126"/>
    </row>
    <row r="9" spans="1:10" ht="18" hidden="1">
      <c r="B9" s="127"/>
      <c r="C9" s="128"/>
      <c r="D9" s="128"/>
      <c r="E9" s="128"/>
      <c r="F9" s="129"/>
      <c r="G9" s="129"/>
      <c r="H9" s="129"/>
      <c r="I9" s="128"/>
    </row>
    <row r="10" spans="1:10" s="142" customFormat="1" ht="39" customHeight="1" thickBot="1">
      <c r="B10" s="300" t="s">
        <v>1770</v>
      </c>
      <c r="C10" s="300" t="s">
        <v>176</v>
      </c>
      <c r="D10" s="300" t="s">
        <v>175</v>
      </c>
      <c r="E10" s="300" t="s">
        <v>264</v>
      </c>
      <c r="F10" s="301" t="s">
        <v>1774</v>
      </c>
      <c r="G10" s="301" t="s">
        <v>1775</v>
      </c>
      <c r="H10" s="302" t="s">
        <v>1776</v>
      </c>
      <c r="I10" s="303" t="s">
        <v>1777</v>
      </c>
      <c r="J10" s="303" t="s">
        <v>1778</v>
      </c>
    </row>
    <row r="11" spans="1:10" s="142" customFormat="1" ht="18" customHeight="1">
      <c r="B11" s="165" t="s">
        <v>1771</v>
      </c>
      <c r="C11" s="165" t="s">
        <v>1779</v>
      </c>
      <c r="D11" s="165" t="s">
        <v>1780</v>
      </c>
      <c r="E11" s="165" t="s">
        <v>1782</v>
      </c>
      <c r="F11" s="304">
        <v>154275.84</v>
      </c>
      <c r="G11" s="304">
        <v>143476.5312</v>
      </c>
      <c r="H11" s="304">
        <f t="shared" ref="H11:H42" si="3">F11-G11</f>
        <v>10799.308799999999</v>
      </c>
      <c r="I11" s="305">
        <v>0.64300000000000002</v>
      </c>
      <c r="J11" s="306">
        <v>9</v>
      </c>
    </row>
    <row r="12" spans="1:10" s="142" customFormat="1" ht="18" customHeight="1">
      <c r="B12" s="165" t="s">
        <v>1771</v>
      </c>
      <c r="C12" s="165" t="s">
        <v>1779</v>
      </c>
      <c r="D12" s="165" t="s">
        <v>1784</v>
      </c>
      <c r="E12" s="165" t="s">
        <v>1782</v>
      </c>
      <c r="F12" s="304">
        <v>57024</v>
      </c>
      <c r="G12" s="304">
        <v>54743.040000000001</v>
      </c>
      <c r="H12" s="304">
        <f t="shared" si="3"/>
        <v>2280.9599999999991</v>
      </c>
      <c r="I12" s="305">
        <v>0.59199999999999997</v>
      </c>
      <c r="J12" s="306">
        <v>8</v>
      </c>
    </row>
    <row r="13" spans="1:10" s="142" customFormat="1" ht="18" customHeight="1">
      <c r="B13" s="165" t="s">
        <v>1771</v>
      </c>
      <c r="C13" s="165" t="s">
        <v>1779</v>
      </c>
      <c r="D13" s="165" t="s">
        <v>1784</v>
      </c>
      <c r="E13" s="165" t="s">
        <v>1782</v>
      </c>
      <c r="F13" s="304">
        <v>69465.600000000006</v>
      </c>
      <c r="G13" s="304">
        <v>66686.975999999995</v>
      </c>
      <c r="H13" s="304">
        <f t="shared" si="3"/>
        <v>2778.6240000000107</v>
      </c>
      <c r="I13" s="305">
        <v>0.41199999999999998</v>
      </c>
      <c r="J13" s="306">
        <v>9</v>
      </c>
    </row>
    <row r="14" spans="1:10" s="142" customFormat="1" ht="18" customHeight="1">
      <c r="B14" s="165" t="s">
        <v>1771</v>
      </c>
      <c r="C14" s="165" t="s">
        <v>1779</v>
      </c>
      <c r="D14" s="165" t="s">
        <v>1780</v>
      </c>
      <c r="E14" s="165" t="s">
        <v>1782</v>
      </c>
      <c r="F14" s="304">
        <v>91463.039999999994</v>
      </c>
      <c r="G14" s="304">
        <v>72255.801599999992</v>
      </c>
      <c r="H14" s="304">
        <f t="shared" si="3"/>
        <v>19207.238400000002</v>
      </c>
      <c r="I14" s="305">
        <v>0.35599999999999998</v>
      </c>
      <c r="J14" s="306">
        <v>8</v>
      </c>
    </row>
    <row r="15" spans="1:10" s="142" customFormat="1" ht="18" customHeight="1">
      <c r="B15" s="165" t="s">
        <v>1771</v>
      </c>
      <c r="C15" s="165" t="s">
        <v>1779</v>
      </c>
      <c r="D15" s="165" t="s">
        <v>1783</v>
      </c>
      <c r="E15" s="165" t="s">
        <v>1782</v>
      </c>
      <c r="F15" s="304">
        <v>94936.320000000007</v>
      </c>
      <c r="G15" s="304">
        <v>77847.782399999996</v>
      </c>
      <c r="H15" s="304">
        <f t="shared" si="3"/>
        <v>17088.537600000011</v>
      </c>
      <c r="I15" s="305">
        <v>0.52900000000000003</v>
      </c>
      <c r="J15" s="306">
        <v>9</v>
      </c>
    </row>
    <row r="16" spans="1:10" s="142" customFormat="1" ht="18" customHeight="1">
      <c r="B16" s="165" t="s">
        <v>1771</v>
      </c>
      <c r="C16" s="165" t="s">
        <v>1779</v>
      </c>
      <c r="D16" s="165" t="s">
        <v>1780</v>
      </c>
      <c r="E16" s="165" t="s">
        <v>1781</v>
      </c>
      <c r="F16" s="304">
        <v>356040</v>
      </c>
      <c r="G16" s="304">
        <v>259909.2</v>
      </c>
      <c r="H16" s="304">
        <f t="shared" si="3"/>
        <v>96130.799999999988</v>
      </c>
      <c r="I16" s="305">
        <v>0.255</v>
      </c>
      <c r="J16" s="306">
        <v>2</v>
      </c>
    </row>
    <row r="17" spans="2:10" s="142" customFormat="1" ht="18" customHeight="1">
      <c r="B17" s="165" t="s">
        <v>1771</v>
      </c>
      <c r="C17" s="165" t="s">
        <v>1779</v>
      </c>
      <c r="D17" s="165" t="s">
        <v>1780</v>
      </c>
      <c r="E17" s="165" t="s">
        <v>1781</v>
      </c>
      <c r="F17" s="304">
        <v>113923.584</v>
      </c>
      <c r="G17" s="304">
        <v>93417.338879999996</v>
      </c>
      <c r="H17" s="304">
        <f t="shared" si="3"/>
        <v>20506.245120000007</v>
      </c>
      <c r="I17" s="305">
        <v>0.255</v>
      </c>
      <c r="J17" s="306">
        <v>6</v>
      </c>
    </row>
    <row r="18" spans="2:10" s="142" customFormat="1" ht="18" customHeight="1">
      <c r="B18" s="165" t="s">
        <v>1771</v>
      </c>
      <c r="C18" s="165" t="s">
        <v>1779</v>
      </c>
      <c r="D18" s="165" t="s">
        <v>1783</v>
      </c>
      <c r="E18" s="165" t="s">
        <v>1781</v>
      </c>
      <c r="F18" s="304">
        <v>90305.279999999999</v>
      </c>
      <c r="G18" s="304">
        <v>70438.118399999992</v>
      </c>
      <c r="H18" s="304">
        <f t="shared" si="3"/>
        <v>19867.161600000007</v>
      </c>
      <c r="I18" s="305">
        <v>0.255</v>
      </c>
      <c r="J18" s="306">
        <v>3</v>
      </c>
    </row>
    <row r="19" spans="2:10" s="142" customFormat="1" ht="18" customHeight="1">
      <c r="B19" s="165" t="s">
        <v>1771</v>
      </c>
      <c r="C19" s="165" t="s">
        <v>1779</v>
      </c>
      <c r="D19" s="165" t="s">
        <v>1780</v>
      </c>
      <c r="E19" s="165" t="s">
        <v>1781</v>
      </c>
      <c r="F19" s="304">
        <v>47520</v>
      </c>
      <c r="G19" s="304">
        <v>45619.199999999997</v>
      </c>
      <c r="H19" s="304">
        <f t="shared" si="3"/>
        <v>1900.8000000000029</v>
      </c>
      <c r="I19" s="305">
        <v>0.247</v>
      </c>
      <c r="J19" s="306">
        <v>6</v>
      </c>
    </row>
    <row r="20" spans="2:10" s="142" customFormat="1" ht="18" customHeight="1">
      <c r="B20" s="165" t="s">
        <v>1771</v>
      </c>
      <c r="C20" s="165" t="s">
        <v>1779</v>
      </c>
      <c r="D20" s="165" t="s">
        <v>1784</v>
      </c>
      <c r="E20" s="165" t="s">
        <v>1781</v>
      </c>
      <c r="F20" s="304">
        <v>261004.79999999999</v>
      </c>
      <c r="G20" s="304">
        <v>221854.07999999999</v>
      </c>
      <c r="H20" s="304">
        <f t="shared" si="3"/>
        <v>39150.720000000001</v>
      </c>
      <c r="I20" s="305">
        <v>0.23300000000000001</v>
      </c>
      <c r="J20" s="306">
        <v>6</v>
      </c>
    </row>
    <row r="21" spans="2:10" s="142" customFormat="1" ht="18" customHeight="1">
      <c r="B21" s="165" t="s">
        <v>1771</v>
      </c>
      <c r="C21" s="165" t="s">
        <v>1779</v>
      </c>
      <c r="D21" s="165" t="s">
        <v>1784</v>
      </c>
      <c r="E21" s="165" t="s">
        <v>1781</v>
      </c>
      <c r="F21" s="304">
        <v>92620.800000000003</v>
      </c>
      <c r="G21" s="304">
        <v>82432.511999999988</v>
      </c>
      <c r="H21" s="304">
        <f t="shared" si="3"/>
        <v>10188.288000000015</v>
      </c>
      <c r="I21" s="305">
        <v>0.187</v>
      </c>
      <c r="J21" s="306">
        <v>3</v>
      </c>
    </row>
    <row r="22" spans="2:10" s="142" customFormat="1" ht="18" customHeight="1">
      <c r="B22" s="165" t="s">
        <v>1771</v>
      </c>
      <c r="C22" s="165" t="s">
        <v>1779</v>
      </c>
      <c r="D22" s="165" t="s">
        <v>1783</v>
      </c>
      <c r="E22" s="165" t="s">
        <v>1782</v>
      </c>
      <c r="F22" s="304">
        <v>394275.84000000003</v>
      </c>
      <c r="G22" s="304">
        <v>366676.53120000003</v>
      </c>
      <c r="H22" s="304">
        <f t="shared" si="3"/>
        <v>27599.308799999999</v>
      </c>
      <c r="I22" s="305">
        <v>0.154</v>
      </c>
      <c r="J22" s="306">
        <v>0</v>
      </c>
    </row>
    <row r="23" spans="2:10" s="142" customFormat="1" ht="18" customHeight="1">
      <c r="B23" s="165" t="s">
        <v>1771</v>
      </c>
      <c r="C23" s="165" t="s">
        <v>1779</v>
      </c>
      <c r="D23" s="165" t="s">
        <v>1783</v>
      </c>
      <c r="E23" s="165" t="s">
        <v>1781</v>
      </c>
      <c r="F23" s="304">
        <v>116121.60000000001</v>
      </c>
      <c r="G23" s="304">
        <v>84768.767999999996</v>
      </c>
      <c r="H23" s="304">
        <f t="shared" si="3"/>
        <v>31352.832000000009</v>
      </c>
      <c r="I23" s="305">
        <v>0.13400000000000001</v>
      </c>
      <c r="J23" s="306">
        <v>3</v>
      </c>
    </row>
    <row r="24" spans="2:10" s="142" customFormat="1" ht="18" customHeight="1">
      <c r="B24" s="165" t="s">
        <v>1785</v>
      </c>
      <c r="C24" s="165" t="s">
        <v>1788</v>
      </c>
      <c r="D24" s="165" t="s">
        <v>1792</v>
      </c>
      <c r="E24" s="165" t="s">
        <v>1782</v>
      </c>
      <c r="F24" s="304">
        <v>91224</v>
      </c>
      <c r="G24" s="304">
        <v>66593.52</v>
      </c>
      <c r="H24" s="304">
        <f t="shared" si="3"/>
        <v>24630.479999999996</v>
      </c>
      <c r="I24" s="305">
        <v>0.65</v>
      </c>
      <c r="J24" s="306">
        <v>6</v>
      </c>
    </row>
    <row r="25" spans="2:10" s="142" customFormat="1" ht="18" customHeight="1">
      <c r="B25" s="165" t="s">
        <v>1785</v>
      </c>
      <c r="C25" s="165" t="s">
        <v>1786</v>
      </c>
      <c r="D25" s="165" t="s">
        <v>1791</v>
      </c>
      <c r="E25" s="165" t="s">
        <v>1781</v>
      </c>
      <c r="F25" s="304">
        <v>76032</v>
      </c>
      <c r="G25" s="304">
        <v>75271.679999999993</v>
      </c>
      <c r="H25" s="304">
        <f t="shared" si="3"/>
        <v>760.32000000000698</v>
      </c>
      <c r="I25" s="305">
        <v>0.623</v>
      </c>
      <c r="J25" s="306">
        <v>0</v>
      </c>
    </row>
    <row r="26" spans="2:10" s="142" customFormat="1" ht="18" customHeight="1">
      <c r="B26" s="165" t="s">
        <v>1785</v>
      </c>
      <c r="C26" s="165" t="s">
        <v>1788</v>
      </c>
      <c r="D26" s="165" t="s">
        <v>1789</v>
      </c>
      <c r="E26" s="165" t="s">
        <v>1782</v>
      </c>
      <c r="F26" s="304">
        <v>121197.6</v>
      </c>
      <c r="G26" s="304">
        <v>112713.76800000001</v>
      </c>
      <c r="H26" s="304">
        <f t="shared" si="3"/>
        <v>8483.8319999999949</v>
      </c>
      <c r="I26" s="305">
        <v>0.45</v>
      </c>
      <c r="J26" s="306">
        <v>13</v>
      </c>
    </row>
    <row r="27" spans="2:10" s="142" customFormat="1" ht="18" customHeight="1">
      <c r="B27" s="165" t="s">
        <v>1785</v>
      </c>
      <c r="C27" s="165" t="s">
        <v>1786</v>
      </c>
      <c r="D27" s="165" t="s">
        <v>1787</v>
      </c>
      <c r="E27" s="165" t="s">
        <v>1782</v>
      </c>
      <c r="F27" s="304">
        <v>181988</v>
      </c>
      <c r="G27" s="304">
        <v>205646.44</v>
      </c>
      <c r="H27" s="304">
        <f t="shared" si="3"/>
        <v>-23658.440000000002</v>
      </c>
      <c r="I27" s="305">
        <v>0.432</v>
      </c>
      <c r="J27" s="306">
        <v>2</v>
      </c>
    </row>
    <row r="28" spans="2:10" s="142" customFormat="1" ht="18" customHeight="1">
      <c r="B28" s="165" t="s">
        <v>1785</v>
      </c>
      <c r="C28" s="165" t="s">
        <v>1788</v>
      </c>
      <c r="D28" s="165" t="s">
        <v>1789</v>
      </c>
      <c r="E28" s="165" t="s">
        <v>1782</v>
      </c>
      <c r="F28" s="304">
        <v>110772</v>
      </c>
      <c r="G28" s="304">
        <v>94156.2</v>
      </c>
      <c r="H28" s="304">
        <f t="shared" si="3"/>
        <v>16615.800000000003</v>
      </c>
      <c r="I28" s="305">
        <v>0.39800000000000002</v>
      </c>
      <c r="J28" s="306">
        <v>9</v>
      </c>
    </row>
    <row r="29" spans="2:10" s="142" customFormat="1" ht="18" customHeight="1">
      <c r="B29" s="165" t="s">
        <v>1785</v>
      </c>
      <c r="C29" s="165" t="s">
        <v>1786</v>
      </c>
      <c r="D29" s="165" t="s">
        <v>1790</v>
      </c>
      <c r="E29" s="165" t="s">
        <v>1781</v>
      </c>
      <c r="F29" s="304">
        <v>128563.2</v>
      </c>
      <c r="G29" s="304">
        <v>119563.776</v>
      </c>
      <c r="H29" s="304">
        <f t="shared" si="3"/>
        <v>8999.4239999999991</v>
      </c>
      <c r="I29" s="305">
        <v>0.39800000000000002</v>
      </c>
      <c r="J29" s="306">
        <v>8</v>
      </c>
    </row>
    <row r="30" spans="2:10" s="142" customFormat="1" ht="18" customHeight="1">
      <c r="B30" s="165" t="s">
        <v>1785</v>
      </c>
      <c r="C30" s="165" t="s">
        <v>1786</v>
      </c>
      <c r="D30" s="165" t="s">
        <v>1787</v>
      </c>
      <c r="E30" s="165" t="s">
        <v>1781</v>
      </c>
      <c r="F30" s="304">
        <v>96768</v>
      </c>
      <c r="G30" s="304">
        <v>70640.639999999999</v>
      </c>
      <c r="H30" s="304">
        <f t="shared" si="3"/>
        <v>26127.360000000001</v>
      </c>
      <c r="I30" s="305">
        <v>0.34499999999999997</v>
      </c>
      <c r="J30" s="306">
        <v>2</v>
      </c>
    </row>
    <row r="31" spans="2:10" s="142" customFormat="1" ht="18" customHeight="1">
      <c r="B31" s="165" t="s">
        <v>1785</v>
      </c>
      <c r="C31" s="165" t="s">
        <v>1788</v>
      </c>
      <c r="D31" s="165" t="s">
        <v>1792</v>
      </c>
      <c r="E31" s="165" t="s">
        <v>1782</v>
      </c>
      <c r="F31" s="304">
        <v>110772</v>
      </c>
      <c r="G31" s="304">
        <v>125172.36</v>
      </c>
      <c r="H31" s="304">
        <f t="shared" si="3"/>
        <v>-14400.36</v>
      </c>
      <c r="I31" s="305">
        <v>0.498</v>
      </c>
      <c r="J31" s="306">
        <v>1</v>
      </c>
    </row>
    <row r="32" spans="2:10" s="142" customFormat="1" ht="18" customHeight="1">
      <c r="B32" s="165" t="s">
        <v>1785</v>
      </c>
      <c r="C32" s="165" t="s">
        <v>1786</v>
      </c>
      <c r="D32" s="165" t="s">
        <v>1787</v>
      </c>
      <c r="E32" s="165" t="s">
        <v>1781</v>
      </c>
      <c r="F32" s="304">
        <v>432900</v>
      </c>
      <c r="G32" s="304">
        <v>367965</v>
      </c>
      <c r="H32" s="304">
        <f t="shared" si="3"/>
        <v>64935</v>
      </c>
      <c r="I32" s="305">
        <v>0.247</v>
      </c>
      <c r="J32" s="306">
        <v>2</v>
      </c>
    </row>
    <row r="33" spans="2:10" s="142" customFormat="1" ht="18" customHeight="1">
      <c r="B33" s="165" t="s">
        <v>1785</v>
      </c>
      <c r="C33" s="165" t="s">
        <v>1788</v>
      </c>
      <c r="D33" s="165" t="s">
        <v>1792</v>
      </c>
      <c r="E33" s="165" t="s">
        <v>1782</v>
      </c>
      <c r="F33" s="304">
        <v>91224</v>
      </c>
      <c r="G33" s="304">
        <v>127713.60000000001</v>
      </c>
      <c r="H33" s="304">
        <f t="shared" si="3"/>
        <v>-36489.600000000006</v>
      </c>
      <c r="I33" s="305">
        <v>0.247</v>
      </c>
      <c r="J33" s="306">
        <v>4</v>
      </c>
    </row>
    <row r="34" spans="2:10" s="142" customFormat="1" ht="18" customHeight="1">
      <c r="B34" s="165" t="s">
        <v>1785</v>
      </c>
      <c r="C34" s="165" t="s">
        <v>1788</v>
      </c>
      <c r="D34" s="165" t="s">
        <v>1792</v>
      </c>
      <c r="E34" s="165" t="s">
        <v>1781</v>
      </c>
      <c r="F34" s="304">
        <v>217504</v>
      </c>
      <c r="G34" s="304">
        <v>184878.4</v>
      </c>
      <c r="H34" s="304">
        <f t="shared" si="3"/>
        <v>32625.600000000006</v>
      </c>
      <c r="I34" s="305">
        <v>0.23300000000000001</v>
      </c>
      <c r="J34" s="306">
        <v>9</v>
      </c>
    </row>
    <row r="35" spans="2:10" s="142" customFormat="1" ht="18" customHeight="1">
      <c r="B35" s="165" t="s">
        <v>1785</v>
      </c>
      <c r="C35" s="165" t="s">
        <v>1786</v>
      </c>
      <c r="D35" s="165" t="s">
        <v>1790</v>
      </c>
      <c r="E35" s="165" t="s">
        <v>1781</v>
      </c>
      <c r="F35" s="304">
        <v>128563.2</v>
      </c>
      <c r="G35" s="304">
        <v>119563.776</v>
      </c>
      <c r="H35" s="304">
        <f t="shared" si="3"/>
        <v>8999.4239999999991</v>
      </c>
      <c r="I35" s="305">
        <v>0.23300000000000001</v>
      </c>
      <c r="J35" s="306">
        <v>1</v>
      </c>
    </row>
    <row r="36" spans="2:10" s="142" customFormat="1" ht="18" customHeight="1">
      <c r="B36" s="165" t="s">
        <v>1785</v>
      </c>
      <c r="C36" s="165" t="s">
        <v>1788</v>
      </c>
      <c r="D36" s="165" t="s">
        <v>1789</v>
      </c>
      <c r="E36" s="165" t="s">
        <v>1782</v>
      </c>
      <c r="F36" s="304">
        <v>121197.6</v>
      </c>
      <c r="G36" s="304">
        <v>112713.76800000001</v>
      </c>
      <c r="H36" s="304">
        <f t="shared" si="3"/>
        <v>8483.8319999999949</v>
      </c>
      <c r="I36" s="305">
        <v>0.23300000000000001</v>
      </c>
      <c r="J36" s="306">
        <v>0</v>
      </c>
    </row>
    <row r="37" spans="2:10" s="142" customFormat="1" ht="18" customHeight="1">
      <c r="B37" s="165" t="s">
        <v>1785</v>
      </c>
      <c r="C37" s="165" t="s">
        <v>1788</v>
      </c>
      <c r="D37" s="165" t="s">
        <v>1792</v>
      </c>
      <c r="E37" s="165" t="s">
        <v>1782</v>
      </c>
      <c r="F37" s="304">
        <v>110772</v>
      </c>
      <c r="G37" s="304">
        <v>125172.36</v>
      </c>
      <c r="H37" s="304">
        <f t="shared" si="3"/>
        <v>-14400.36</v>
      </c>
      <c r="I37" s="305">
        <v>0.23300000000000001</v>
      </c>
      <c r="J37" s="306">
        <v>0</v>
      </c>
    </row>
    <row r="38" spans="2:10" s="142" customFormat="1" ht="18" customHeight="1">
      <c r="B38" s="165" t="s">
        <v>1785</v>
      </c>
      <c r="C38" s="165" t="s">
        <v>1788</v>
      </c>
      <c r="D38" s="165" t="s">
        <v>1792</v>
      </c>
      <c r="E38" s="165" t="s">
        <v>1781</v>
      </c>
      <c r="F38" s="304">
        <v>128563.2</v>
      </c>
      <c r="G38" s="304">
        <v>119563.776</v>
      </c>
      <c r="H38" s="304">
        <f t="shared" si="3"/>
        <v>8999.4239999999991</v>
      </c>
      <c r="I38" s="305">
        <v>0.154</v>
      </c>
      <c r="J38" s="306">
        <v>3</v>
      </c>
    </row>
    <row r="39" spans="2:10" s="142" customFormat="1" ht="18" customHeight="1">
      <c r="B39" s="165" t="s">
        <v>1785</v>
      </c>
      <c r="C39" s="165" t="s">
        <v>1786</v>
      </c>
      <c r="D39" s="165" t="s">
        <v>1787</v>
      </c>
      <c r="E39" s="165" t="s">
        <v>1782</v>
      </c>
      <c r="F39" s="304">
        <v>121197.6</v>
      </c>
      <c r="G39" s="304">
        <v>112713.76800000001</v>
      </c>
      <c r="H39" s="304">
        <f t="shared" si="3"/>
        <v>8483.8319999999949</v>
      </c>
      <c r="I39" s="305">
        <v>0.154</v>
      </c>
      <c r="J39" s="306">
        <v>4</v>
      </c>
    </row>
    <row r="40" spans="2:10" s="142" customFormat="1" ht="18" customHeight="1">
      <c r="B40" s="165" t="s">
        <v>1785</v>
      </c>
      <c r="C40" s="165" t="s">
        <v>1788</v>
      </c>
      <c r="D40" s="165" t="s">
        <v>1792</v>
      </c>
      <c r="E40" s="165" t="s">
        <v>1782</v>
      </c>
      <c r="F40" s="304">
        <v>71676</v>
      </c>
      <c r="G40" s="304">
        <v>70959.240000000005</v>
      </c>
      <c r="H40" s="304">
        <f t="shared" si="3"/>
        <v>716.75999999999476</v>
      </c>
      <c r="I40" s="305">
        <v>0.13400000000000001</v>
      </c>
      <c r="J40" s="306">
        <v>9</v>
      </c>
    </row>
    <row r="41" spans="2:10" s="142" customFormat="1" ht="18" customHeight="1">
      <c r="B41" s="165" t="s">
        <v>1793</v>
      </c>
      <c r="C41" s="165" t="s">
        <v>1779</v>
      </c>
      <c r="D41" s="165" t="s">
        <v>1780</v>
      </c>
      <c r="E41" s="165" t="s">
        <v>1794</v>
      </c>
      <c r="F41" s="304">
        <v>94936.320000000007</v>
      </c>
      <c r="G41" s="304">
        <v>77847.782399999996</v>
      </c>
      <c r="H41" s="304">
        <f t="shared" si="3"/>
        <v>17088.537600000011</v>
      </c>
      <c r="I41" s="305">
        <v>0.57599999999999996</v>
      </c>
      <c r="J41" s="306">
        <v>8</v>
      </c>
    </row>
    <row r="42" spans="2:10" s="142" customFormat="1" ht="18" customHeight="1">
      <c r="B42" s="165" t="s">
        <v>1793</v>
      </c>
      <c r="C42" s="165" t="s">
        <v>1779</v>
      </c>
      <c r="D42" s="165" t="s">
        <v>1783</v>
      </c>
      <c r="E42" s="165" t="s">
        <v>1794</v>
      </c>
      <c r="F42" s="304">
        <v>69465.600000000006</v>
      </c>
      <c r="G42" s="304">
        <v>66686.975999999995</v>
      </c>
      <c r="H42" s="304">
        <f t="shared" si="3"/>
        <v>2778.6240000000107</v>
      </c>
      <c r="I42" s="305">
        <v>0.57299999999999995</v>
      </c>
      <c r="J42" s="306">
        <v>8</v>
      </c>
    </row>
    <row r="43" spans="2:10" s="142" customFormat="1" ht="18" customHeight="1">
      <c r="B43" s="165" t="s">
        <v>1793</v>
      </c>
      <c r="C43" s="165" t="s">
        <v>1779</v>
      </c>
      <c r="D43" s="165" t="s">
        <v>1780</v>
      </c>
      <c r="E43" s="165" t="s">
        <v>1781</v>
      </c>
      <c r="F43" s="304">
        <v>519480</v>
      </c>
      <c r="G43" s="304">
        <v>1443556</v>
      </c>
      <c r="H43" s="304">
        <f t="shared" ref="H43:H74" si="4">F43-G43</f>
        <v>-924076</v>
      </c>
      <c r="I43" s="305">
        <v>0.39800000000000002</v>
      </c>
      <c r="J43" s="306">
        <v>6</v>
      </c>
    </row>
    <row r="44" spans="2:10" s="142" customFormat="1" ht="18" customHeight="1">
      <c r="B44" s="165" t="s">
        <v>1793</v>
      </c>
      <c r="C44" s="165" t="s">
        <v>1779</v>
      </c>
      <c r="D44" s="165" t="s">
        <v>1784</v>
      </c>
      <c r="E44" s="165" t="s">
        <v>1795</v>
      </c>
      <c r="F44" s="304">
        <v>113923.584</v>
      </c>
      <c r="G44" s="304">
        <v>93417.338879999996</v>
      </c>
      <c r="H44" s="304">
        <f t="shared" si="4"/>
        <v>20506.245120000007</v>
      </c>
      <c r="I44" s="305">
        <v>0.35599999999999998</v>
      </c>
      <c r="J44" s="306">
        <v>2</v>
      </c>
    </row>
    <row r="45" spans="2:10" s="142" customFormat="1" ht="18" customHeight="1">
      <c r="B45" s="165" t="s">
        <v>1793</v>
      </c>
      <c r="C45" s="165" t="s">
        <v>1779</v>
      </c>
      <c r="D45" s="165" t="s">
        <v>1783</v>
      </c>
      <c r="E45" s="165" t="s">
        <v>1795</v>
      </c>
      <c r="F45" s="304">
        <v>154275.84</v>
      </c>
      <c r="G45" s="304">
        <v>143476.5312</v>
      </c>
      <c r="H45" s="304">
        <f t="shared" si="4"/>
        <v>10799.308799999999</v>
      </c>
      <c r="I45" s="305">
        <v>0.52200000000000002</v>
      </c>
      <c r="J45" s="306">
        <v>4</v>
      </c>
    </row>
    <row r="46" spans="2:10" s="142" customFormat="1" ht="18" customHeight="1">
      <c r="B46" s="165" t="s">
        <v>1793</v>
      </c>
      <c r="C46" s="165" t="s">
        <v>1779</v>
      </c>
      <c r="D46" s="165" t="s">
        <v>1780</v>
      </c>
      <c r="E46" s="165" t="s">
        <v>1795</v>
      </c>
      <c r="F46" s="304">
        <v>91238.399999999994</v>
      </c>
      <c r="G46" s="304">
        <v>90326.015999999989</v>
      </c>
      <c r="H46" s="304">
        <f t="shared" si="4"/>
        <v>912.38400000000547</v>
      </c>
      <c r="I46" s="305">
        <v>0.315</v>
      </c>
      <c r="J46" s="306">
        <v>9</v>
      </c>
    </row>
    <row r="47" spans="2:10" s="142" customFormat="1" ht="18" customHeight="1">
      <c r="B47" s="165" t="s">
        <v>1793</v>
      </c>
      <c r="C47" s="165" t="s">
        <v>1779</v>
      </c>
      <c r="D47" s="165" t="s">
        <v>1784</v>
      </c>
      <c r="E47" s="165" t="s">
        <v>1794</v>
      </c>
      <c r="F47" s="304">
        <v>91463.039999999994</v>
      </c>
      <c r="G47" s="304">
        <v>72255.801599999992</v>
      </c>
      <c r="H47" s="304">
        <f t="shared" si="4"/>
        <v>19207.238400000002</v>
      </c>
      <c r="I47" s="305">
        <v>0.27600000000000002</v>
      </c>
      <c r="J47" s="306">
        <v>5</v>
      </c>
    </row>
    <row r="48" spans="2:10" s="142" customFormat="1" ht="18" customHeight="1">
      <c r="B48" s="165" t="s">
        <v>1793</v>
      </c>
      <c r="C48" s="165" t="s">
        <v>1779</v>
      </c>
      <c r="D48" s="165" t="s">
        <v>1780</v>
      </c>
      <c r="E48" s="165" t="s">
        <v>1795</v>
      </c>
      <c r="F48" s="304">
        <v>90305.279999999999</v>
      </c>
      <c r="G48" s="304">
        <v>70438.118399999992</v>
      </c>
      <c r="H48" s="304">
        <f t="shared" si="4"/>
        <v>19867.161600000007</v>
      </c>
      <c r="I48" s="307">
        <v>0.26500000000000001</v>
      </c>
      <c r="J48" s="306">
        <v>2</v>
      </c>
    </row>
    <row r="49" spans="2:10" s="142" customFormat="1" ht="18" customHeight="1">
      <c r="B49" s="165" t="s">
        <v>1793</v>
      </c>
      <c r="C49" s="165" t="s">
        <v>1779</v>
      </c>
      <c r="D49" s="165" t="s">
        <v>1783</v>
      </c>
      <c r="E49" s="165" t="s">
        <v>1795</v>
      </c>
      <c r="F49" s="304">
        <v>92620.800000000003</v>
      </c>
      <c r="G49" s="304">
        <v>104661.504</v>
      </c>
      <c r="H49" s="304">
        <f t="shared" si="4"/>
        <v>-12040.703999999998</v>
      </c>
      <c r="I49" s="305">
        <v>0.255</v>
      </c>
      <c r="J49" s="306">
        <v>9</v>
      </c>
    </row>
    <row r="50" spans="2:10" s="142" customFormat="1" ht="18" customHeight="1">
      <c r="B50" s="165" t="s">
        <v>1793</v>
      </c>
      <c r="C50" s="165" t="s">
        <v>1779</v>
      </c>
      <c r="D50" s="165" t="s">
        <v>1784</v>
      </c>
      <c r="E50" s="165" t="s">
        <v>1794</v>
      </c>
      <c r="F50" s="304">
        <v>154275.84</v>
      </c>
      <c r="G50" s="304">
        <v>143476.5312</v>
      </c>
      <c r="H50" s="304">
        <f t="shared" si="4"/>
        <v>10799.308799999999</v>
      </c>
      <c r="I50" s="305">
        <v>0.247</v>
      </c>
      <c r="J50" s="306">
        <v>8</v>
      </c>
    </row>
    <row r="51" spans="2:10" s="142" customFormat="1" ht="18" customHeight="1">
      <c r="B51" s="165" t="s">
        <v>1793</v>
      </c>
      <c r="C51" s="165" t="s">
        <v>1779</v>
      </c>
      <c r="D51" s="165" t="s">
        <v>1784</v>
      </c>
      <c r="E51" s="165" t="s">
        <v>1795</v>
      </c>
      <c r="F51" s="304">
        <v>1447185.6</v>
      </c>
      <c r="G51" s="304">
        <v>975545</v>
      </c>
      <c r="H51" s="304">
        <f t="shared" si="4"/>
        <v>471640.60000000009</v>
      </c>
      <c r="I51" s="305">
        <v>0.23300000000000001</v>
      </c>
      <c r="J51" s="306">
        <v>9</v>
      </c>
    </row>
    <row r="52" spans="2:10" s="142" customFormat="1" ht="18" customHeight="1">
      <c r="B52" s="165" t="s">
        <v>1793</v>
      </c>
      <c r="C52" s="165" t="s">
        <v>1779</v>
      </c>
      <c r="D52" s="165" t="s">
        <v>1783</v>
      </c>
      <c r="E52" s="165" t="s">
        <v>1794</v>
      </c>
      <c r="F52" s="304">
        <v>113923.584</v>
      </c>
      <c r="G52" s="304">
        <v>93417.338879999996</v>
      </c>
      <c r="H52" s="304">
        <f t="shared" si="4"/>
        <v>20506.245120000007</v>
      </c>
      <c r="I52" s="305">
        <v>0.187</v>
      </c>
      <c r="J52" s="306">
        <v>5</v>
      </c>
    </row>
    <row r="53" spans="2:10" s="142" customFormat="1" ht="18" customHeight="1">
      <c r="B53" s="165" t="s">
        <v>1793</v>
      </c>
      <c r="C53" s="165" t="s">
        <v>1779</v>
      </c>
      <c r="D53" s="165" t="s">
        <v>1784</v>
      </c>
      <c r="E53" s="165" t="s">
        <v>1795</v>
      </c>
      <c r="F53" s="304">
        <v>94936.320000000007</v>
      </c>
      <c r="G53" s="304">
        <v>77847.782399999996</v>
      </c>
      <c r="H53" s="304">
        <f t="shared" si="4"/>
        <v>17088.537600000011</v>
      </c>
      <c r="I53" s="305">
        <v>0.13400000000000001</v>
      </c>
      <c r="J53" s="306">
        <v>4</v>
      </c>
    </row>
    <row r="54" spans="2:10" s="142" customFormat="1" ht="18" customHeight="1">
      <c r="B54" s="165" t="s">
        <v>1796</v>
      </c>
      <c r="C54" s="165" t="s">
        <v>1786</v>
      </c>
      <c r="D54" s="165" t="s">
        <v>1787</v>
      </c>
      <c r="E54" s="165" t="s">
        <v>1781</v>
      </c>
      <c r="F54" s="304">
        <v>1205988</v>
      </c>
      <c r="G54" s="304">
        <v>657880</v>
      </c>
      <c r="H54" s="304">
        <f t="shared" si="4"/>
        <v>548108</v>
      </c>
      <c r="I54" s="305">
        <v>0.432</v>
      </c>
      <c r="J54" s="306">
        <v>10</v>
      </c>
    </row>
    <row r="55" spans="2:10" s="142" customFormat="1" ht="18" customHeight="1">
      <c r="B55" s="165" t="s">
        <v>1796</v>
      </c>
      <c r="C55" s="165" t="s">
        <v>1786</v>
      </c>
      <c r="D55" s="165" t="s">
        <v>1787</v>
      </c>
      <c r="E55" s="165" t="s">
        <v>1781</v>
      </c>
      <c r="F55" s="304">
        <f>128563.2+200000</f>
        <v>328563.20000000001</v>
      </c>
      <c r="G55" s="304">
        <v>305563.77600000001</v>
      </c>
      <c r="H55" s="304">
        <f t="shared" si="4"/>
        <v>22999.423999999999</v>
      </c>
      <c r="I55" s="307">
        <v>0.39800000000000002</v>
      </c>
      <c r="J55" s="306">
        <v>3</v>
      </c>
    </row>
    <row r="56" spans="2:10" s="142" customFormat="1" ht="18" customHeight="1">
      <c r="B56" s="165" t="s">
        <v>1797</v>
      </c>
      <c r="C56" s="165" t="s">
        <v>1788</v>
      </c>
      <c r="D56" s="165" t="s">
        <v>1792</v>
      </c>
      <c r="E56" s="165" t="s">
        <v>1794</v>
      </c>
      <c r="F56" s="304">
        <v>54120</v>
      </c>
      <c r="G56" s="304">
        <v>44378.400000000001</v>
      </c>
      <c r="H56" s="304">
        <f t="shared" si="4"/>
        <v>9741.5999999999985</v>
      </c>
      <c r="I56" s="305">
        <v>0.54300000000000004</v>
      </c>
      <c r="J56" s="306">
        <v>3</v>
      </c>
    </row>
    <row r="57" spans="2:10" s="142" customFormat="1" ht="18" customHeight="1">
      <c r="B57" s="165" t="s">
        <v>1797</v>
      </c>
      <c r="C57" s="165" t="s">
        <v>1786</v>
      </c>
      <c r="D57" s="165" t="s">
        <v>1787</v>
      </c>
      <c r="E57" s="165" t="s">
        <v>1794</v>
      </c>
      <c r="F57" s="304">
        <v>39600</v>
      </c>
      <c r="G57" s="304">
        <v>38016</v>
      </c>
      <c r="H57" s="304">
        <f t="shared" si="4"/>
        <v>1584</v>
      </c>
      <c r="I57" s="305">
        <v>0.61199999999999999</v>
      </c>
      <c r="J57" s="306">
        <v>2</v>
      </c>
    </row>
    <row r="58" spans="2:10" s="142" customFormat="1" ht="18" customHeight="1">
      <c r="B58" s="165" t="s">
        <v>1797</v>
      </c>
      <c r="C58" s="165" t="s">
        <v>1788</v>
      </c>
      <c r="D58" s="165" t="s">
        <v>1789</v>
      </c>
      <c r="E58" s="165" t="s">
        <v>1795</v>
      </c>
      <c r="F58" s="304">
        <v>77184</v>
      </c>
      <c r="G58" s="304">
        <v>87217.919999999998</v>
      </c>
      <c r="H58" s="304">
        <f t="shared" si="4"/>
        <v>-10033.919999999998</v>
      </c>
      <c r="I58" s="305">
        <v>0.34399999999999997</v>
      </c>
      <c r="J58" s="306">
        <v>5</v>
      </c>
    </row>
    <row r="59" spans="2:10" s="142" customFormat="1" ht="18" customHeight="1">
      <c r="B59" s="165" t="s">
        <v>1797</v>
      </c>
      <c r="C59" s="165" t="s">
        <v>1788</v>
      </c>
      <c r="D59" s="165" t="s">
        <v>1789</v>
      </c>
      <c r="E59" s="165" t="s">
        <v>1795</v>
      </c>
      <c r="F59" s="304">
        <v>76219.199999999997</v>
      </c>
      <c r="G59" s="304">
        <v>60213.167999999998</v>
      </c>
      <c r="H59" s="304">
        <f t="shared" si="4"/>
        <v>16006.031999999999</v>
      </c>
      <c r="I59" s="305">
        <v>0.754</v>
      </c>
      <c r="J59" s="306">
        <v>1</v>
      </c>
    </row>
    <row r="60" spans="2:10" s="142" customFormat="1" ht="18" customHeight="1">
      <c r="B60" s="165" t="s">
        <v>1797</v>
      </c>
      <c r="C60" s="165" t="s">
        <v>1786</v>
      </c>
      <c r="D60" s="165" t="s">
        <v>1787</v>
      </c>
      <c r="E60" s="165" t="s">
        <v>1795</v>
      </c>
      <c r="F60" s="304">
        <v>79113.600000000006</v>
      </c>
      <c r="G60" s="304">
        <v>64873.152000000002</v>
      </c>
      <c r="H60" s="304">
        <f t="shared" si="4"/>
        <v>14240.448000000004</v>
      </c>
      <c r="I60" s="305">
        <v>0.435</v>
      </c>
      <c r="J60" s="306">
        <v>6</v>
      </c>
    </row>
    <row r="61" spans="2:10" s="142" customFormat="1" ht="18" customHeight="1">
      <c r="B61" s="165" t="s">
        <v>1797</v>
      </c>
      <c r="C61" s="165" t="s">
        <v>1788</v>
      </c>
      <c r="D61" s="165" t="s">
        <v>1792</v>
      </c>
      <c r="E61" s="165" t="s">
        <v>1794</v>
      </c>
      <c r="F61" s="304">
        <v>39600</v>
      </c>
      <c r="G61" s="304">
        <v>38016</v>
      </c>
      <c r="H61" s="304">
        <f t="shared" si="4"/>
        <v>1584</v>
      </c>
      <c r="I61" s="305">
        <v>0.56299999999999994</v>
      </c>
      <c r="J61" s="306">
        <v>8</v>
      </c>
    </row>
    <row r="62" spans="2:10" s="142" customFormat="1" ht="18" customHeight="1">
      <c r="B62" s="165" t="s">
        <v>1797</v>
      </c>
      <c r="C62" s="165" t="s">
        <v>1786</v>
      </c>
      <c r="D62" s="165" t="s">
        <v>1787</v>
      </c>
      <c r="E62" s="165" t="s">
        <v>1782</v>
      </c>
      <c r="F62" s="304">
        <v>71676</v>
      </c>
      <c r="G62" s="304">
        <v>70959.240000000005</v>
      </c>
      <c r="H62" s="304">
        <f t="shared" si="4"/>
        <v>716.75999999999476</v>
      </c>
      <c r="I62" s="305">
        <v>0.23400000000000001</v>
      </c>
      <c r="J62" s="306">
        <v>1</v>
      </c>
    </row>
    <row r="63" spans="2:10" s="142" customFormat="1" ht="18" customHeight="1">
      <c r="B63" s="165" t="s">
        <v>1797</v>
      </c>
      <c r="C63" s="165" t="s">
        <v>1786</v>
      </c>
      <c r="D63" s="165" t="s">
        <v>1790</v>
      </c>
      <c r="E63" s="165" t="s">
        <v>1795</v>
      </c>
      <c r="F63" s="304">
        <v>75254.399999999994</v>
      </c>
      <c r="G63" s="304">
        <v>58698.432000000001</v>
      </c>
      <c r="H63" s="304">
        <f t="shared" si="4"/>
        <v>16555.967999999993</v>
      </c>
      <c r="I63" s="305">
        <v>0.35599999999999998</v>
      </c>
      <c r="J63" s="306">
        <v>5</v>
      </c>
    </row>
    <row r="64" spans="2:10" s="142" customFormat="1" ht="18" customHeight="1">
      <c r="B64" s="165" t="s">
        <v>1797</v>
      </c>
      <c r="C64" s="165" t="s">
        <v>1788</v>
      </c>
      <c r="D64" s="165" t="s">
        <v>1789</v>
      </c>
      <c r="E64" s="165" t="s">
        <v>1794</v>
      </c>
      <c r="F64" s="304">
        <v>52140</v>
      </c>
      <c r="G64" s="304">
        <v>41190.6</v>
      </c>
      <c r="H64" s="304">
        <f t="shared" si="4"/>
        <v>10949.400000000001</v>
      </c>
      <c r="I64" s="305">
        <v>0.35599999999999998</v>
      </c>
      <c r="J64" s="306">
        <v>5</v>
      </c>
    </row>
    <row r="65" spans="2:10" s="142" customFormat="1" ht="18" customHeight="1">
      <c r="B65" s="165" t="s">
        <v>1797</v>
      </c>
      <c r="C65" s="165" t="s">
        <v>1788</v>
      </c>
      <c r="D65" s="165" t="s">
        <v>1792</v>
      </c>
      <c r="E65" s="165" t="s">
        <v>1794</v>
      </c>
      <c r="F65" s="304">
        <v>54120</v>
      </c>
      <c r="G65" s="304">
        <v>44378.400000000001</v>
      </c>
      <c r="H65" s="304">
        <f t="shared" si="4"/>
        <v>9741.5999999999985</v>
      </c>
      <c r="I65" s="305">
        <v>0.377</v>
      </c>
      <c r="J65" s="306">
        <v>8</v>
      </c>
    </row>
    <row r="66" spans="2:10" s="142" customFormat="1" ht="18" customHeight="1">
      <c r="B66" s="165" t="s">
        <v>1797</v>
      </c>
      <c r="C66" s="165" t="s">
        <v>1786</v>
      </c>
      <c r="D66" s="165" t="s">
        <v>1787</v>
      </c>
      <c r="E66" s="165" t="s">
        <v>1795</v>
      </c>
      <c r="F66" s="304">
        <v>57888</v>
      </c>
      <c r="G66" s="304">
        <v>55572.480000000003</v>
      </c>
      <c r="H66" s="304">
        <f t="shared" si="4"/>
        <v>2315.5199999999968</v>
      </c>
      <c r="I66" s="305">
        <v>0.245</v>
      </c>
      <c r="J66" s="306">
        <v>5</v>
      </c>
    </row>
    <row r="67" spans="2:10" s="142" customFormat="1" ht="18" customHeight="1">
      <c r="B67" s="165" t="s">
        <v>1797</v>
      </c>
      <c r="C67" s="165" t="s">
        <v>1786</v>
      </c>
      <c r="D67" s="165" t="s">
        <v>1787</v>
      </c>
      <c r="E67" s="165" t="s">
        <v>1795</v>
      </c>
      <c r="F67" s="304">
        <v>79113.600000000006</v>
      </c>
      <c r="G67" s="304">
        <v>64873.152000000002</v>
      </c>
      <c r="H67" s="304">
        <f t="shared" si="4"/>
        <v>14240.448000000004</v>
      </c>
      <c r="I67" s="305">
        <v>0.27600000000000002</v>
      </c>
      <c r="J67" s="306">
        <v>0</v>
      </c>
    </row>
    <row r="68" spans="2:10" s="142" customFormat="1" ht="18" customHeight="1">
      <c r="B68" s="165" t="s">
        <v>1797</v>
      </c>
      <c r="C68" s="165" t="s">
        <v>1788</v>
      </c>
      <c r="D68" s="165" t="s">
        <v>1789</v>
      </c>
      <c r="E68" s="165" t="s">
        <v>1794</v>
      </c>
      <c r="F68" s="304">
        <v>52140</v>
      </c>
      <c r="G68" s="304">
        <v>41190.6</v>
      </c>
      <c r="H68" s="304">
        <f t="shared" si="4"/>
        <v>10949.400000000001</v>
      </c>
      <c r="I68" s="305">
        <v>0.27600000000000002</v>
      </c>
      <c r="J68" s="306">
        <v>6</v>
      </c>
    </row>
    <row r="69" spans="2:10" s="142" customFormat="1" ht="18" customHeight="1">
      <c r="B69" s="165" t="s">
        <v>1797</v>
      </c>
      <c r="C69" s="165" t="s">
        <v>1786</v>
      </c>
      <c r="D69" s="165" t="s">
        <v>1790</v>
      </c>
      <c r="E69" s="165" t="s">
        <v>1795</v>
      </c>
      <c r="F69" s="304">
        <v>76219.199999999997</v>
      </c>
      <c r="G69" s="304">
        <v>60213.167999999998</v>
      </c>
      <c r="H69" s="304">
        <f t="shared" si="4"/>
        <v>16006.031999999999</v>
      </c>
      <c r="I69" s="305">
        <v>0.26500000000000001</v>
      </c>
      <c r="J69" s="306">
        <v>7</v>
      </c>
    </row>
    <row r="70" spans="2:10" s="142" customFormat="1" ht="18" customHeight="1">
      <c r="B70" s="165" t="s">
        <v>1797</v>
      </c>
      <c r="C70" s="165" t="s">
        <v>1786</v>
      </c>
      <c r="D70" s="165" t="s">
        <v>1787</v>
      </c>
      <c r="E70" s="165" t="s">
        <v>1794</v>
      </c>
      <c r="F70" s="304">
        <v>51480</v>
      </c>
      <c r="G70" s="304">
        <v>58172.4</v>
      </c>
      <c r="H70" s="304">
        <f t="shared" si="4"/>
        <v>-6692.4000000000015</v>
      </c>
      <c r="I70" s="307">
        <v>0.26500000000000001</v>
      </c>
      <c r="J70" s="306">
        <v>9</v>
      </c>
    </row>
    <row r="71" spans="2:10" s="142" customFormat="1" ht="18" customHeight="1">
      <c r="B71" s="165" t="s">
        <v>1797</v>
      </c>
      <c r="C71" s="165" t="s">
        <v>1788</v>
      </c>
      <c r="D71" s="165" t="s">
        <v>1789</v>
      </c>
      <c r="E71" s="165" t="s">
        <v>1795</v>
      </c>
      <c r="F71" s="304">
        <v>75254.399999999994</v>
      </c>
      <c r="G71" s="304">
        <v>58698.432000000001</v>
      </c>
      <c r="H71" s="304">
        <f t="shared" si="4"/>
        <v>16555.967999999993</v>
      </c>
      <c r="I71" s="305">
        <v>0.255</v>
      </c>
      <c r="J71" s="306">
        <v>9</v>
      </c>
    </row>
    <row r="72" spans="2:10" s="142" customFormat="1" ht="18" customHeight="1">
      <c r="B72" s="165" t="s">
        <v>1797</v>
      </c>
      <c r="C72" s="165" t="s">
        <v>1788</v>
      </c>
      <c r="D72" s="165" t="s">
        <v>1792</v>
      </c>
      <c r="E72" s="165" t="s">
        <v>1795</v>
      </c>
      <c r="F72" s="304">
        <v>79113.600000000006</v>
      </c>
      <c r="G72" s="304">
        <v>64873.152000000002</v>
      </c>
      <c r="H72" s="304">
        <f t="shared" si="4"/>
        <v>14240.448000000004</v>
      </c>
      <c r="I72" s="305">
        <v>0.255</v>
      </c>
      <c r="J72" s="306">
        <v>9</v>
      </c>
    </row>
    <row r="73" spans="2:10" s="142" customFormat="1" ht="18" customHeight="1">
      <c r="B73" s="165" t="s">
        <v>1797</v>
      </c>
      <c r="C73" s="165" t="s">
        <v>1788</v>
      </c>
      <c r="D73" s="165" t="s">
        <v>1792</v>
      </c>
      <c r="E73" s="165" t="s">
        <v>1794</v>
      </c>
      <c r="F73" s="304">
        <v>51480</v>
      </c>
      <c r="G73" s="304">
        <v>40154.400000000001</v>
      </c>
      <c r="H73" s="304">
        <f t="shared" si="4"/>
        <v>11325.599999999999</v>
      </c>
      <c r="I73" s="305">
        <v>0.255</v>
      </c>
      <c r="J73" s="306">
        <v>2</v>
      </c>
    </row>
    <row r="74" spans="2:10" s="142" customFormat="1" ht="18" customHeight="1">
      <c r="B74" s="165" t="s">
        <v>1797</v>
      </c>
      <c r="C74" s="165" t="s">
        <v>1788</v>
      </c>
      <c r="D74" s="165" t="s">
        <v>1789</v>
      </c>
      <c r="E74" s="165" t="s">
        <v>1795</v>
      </c>
      <c r="F74" s="304">
        <v>77184</v>
      </c>
      <c r="G74" s="304">
        <v>68693.759999999995</v>
      </c>
      <c r="H74" s="304">
        <f t="shared" si="4"/>
        <v>8490.2400000000052</v>
      </c>
      <c r="I74" s="305">
        <v>0.255</v>
      </c>
      <c r="J74" s="306">
        <v>5</v>
      </c>
    </row>
    <row r="75" spans="2:10" s="142" customFormat="1" ht="18" customHeight="1">
      <c r="B75" s="165" t="s">
        <v>1797</v>
      </c>
      <c r="C75" s="165" t="s">
        <v>1788</v>
      </c>
      <c r="D75" s="165" t="s">
        <v>1789</v>
      </c>
      <c r="E75" s="165" t="s">
        <v>1794</v>
      </c>
      <c r="F75" s="304">
        <v>52800</v>
      </c>
      <c r="G75" s="304">
        <v>59664</v>
      </c>
      <c r="H75" s="304">
        <f t="shared" ref="H75:H106" si="5">F75-G75</f>
        <v>-6864</v>
      </c>
      <c r="I75" s="305">
        <v>0.255</v>
      </c>
      <c r="J75" s="306">
        <v>8</v>
      </c>
    </row>
    <row r="76" spans="2:10" s="142" customFormat="1" ht="18" customHeight="1">
      <c r="B76" s="165" t="s">
        <v>1797</v>
      </c>
      <c r="C76" s="165" t="s">
        <v>1786</v>
      </c>
      <c r="D76" s="165" t="s">
        <v>1790</v>
      </c>
      <c r="E76" s="165" t="s">
        <v>1781</v>
      </c>
      <c r="F76" s="304">
        <v>296700</v>
      </c>
      <c r="G76" s="304">
        <v>216591</v>
      </c>
      <c r="H76" s="304">
        <f t="shared" si="5"/>
        <v>80109</v>
      </c>
      <c r="I76" s="305">
        <v>0.23300000000000001</v>
      </c>
      <c r="J76" s="306">
        <v>1</v>
      </c>
    </row>
    <row r="77" spans="2:10" s="142" customFormat="1" ht="18" customHeight="1">
      <c r="B77" s="165" t="s">
        <v>1797</v>
      </c>
      <c r="C77" s="165" t="s">
        <v>1786</v>
      </c>
      <c r="D77" s="165" t="s">
        <v>1790</v>
      </c>
      <c r="E77" s="165" t="s">
        <v>1794</v>
      </c>
      <c r="F77" s="304">
        <v>52800</v>
      </c>
      <c r="G77" s="304">
        <v>46992</v>
      </c>
      <c r="H77" s="304">
        <f t="shared" si="5"/>
        <v>5808</v>
      </c>
      <c r="I77" s="305">
        <v>0.187</v>
      </c>
      <c r="J77" s="306">
        <v>9</v>
      </c>
    </row>
    <row r="78" spans="2:10" s="142" customFormat="1" ht="18" customHeight="1">
      <c r="B78" s="165" t="s">
        <v>1797</v>
      </c>
      <c r="C78" s="165" t="s">
        <v>1786</v>
      </c>
      <c r="D78" s="165" t="s">
        <v>1787</v>
      </c>
      <c r="E78" s="165" t="s">
        <v>1795</v>
      </c>
      <c r="F78" s="304">
        <v>57888</v>
      </c>
      <c r="G78" s="304">
        <v>55572.480000000003</v>
      </c>
      <c r="H78" s="304">
        <f t="shared" si="5"/>
        <v>2315.5199999999968</v>
      </c>
      <c r="I78" s="305">
        <v>0.187</v>
      </c>
      <c r="J78" s="306">
        <v>3</v>
      </c>
    </row>
    <row r="79" spans="2:10" s="311" customFormat="1" ht="18" customHeight="1">
      <c r="B79" s="189"/>
      <c r="C79" s="189"/>
      <c r="D79" s="189"/>
      <c r="E79" s="189"/>
      <c r="F79" s="308"/>
      <c r="G79" s="308"/>
      <c r="H79" s="308"/>
      <c r="I79" s="309"/>
      <c r="J79" s="310"/>
    </row>
    <row r="80" spans="2:10" s="142" customFormat="1" ht="15.75"/>
    <row r="81" spans="2:2" s="142" customFormat="1" ht="15.75"/>
    <row r="82" spans="2:2" s="142" customFormat="1" ht="15.75"/>
    <row r="83" spans="2:2" s="142" customFormat="1" ht="15.75"/>
    <row r="84" spans="2:2" s="142" customFormat="1" ht="15.75"/>
    <row r="85" spans="2:2" s="142" customFormat="1" ht="15.75"/>
    <row r="86" spans="2:2" s="142" customFormat="1" ht="15.75"/>
    <row r="87" spans="2:2" s="142" customFormat="1" ht="15.75"/>
    <row r="88" spans="2:2" s="142" customFormat="1" ht="15.75"/>
    <row r="89" spans="2:2" s="142" customFormat="1" ht="15.75"/>
    <row r="90" spans="2:2" s="142" customFormat="1" ht="15.75"/>
    <row r="91" spans="2:2" s="142" customFormat="1" ht="15.75"/>
    <row r="92" spans="2:2" s="142" customFormat="1" ht="15.75"/>
    <row r="93" spans="2:2" s="142" customFormat="1" ht="15.75"/>
    <row r="94" spans="2:2" ht="15">
      <c r="B94" s="3"/>
    </row>
    <row r="95" spans="2:2" ht="15">
      <c r="B95" s="3"/>
    </row>
    <row r="96" spans="2:2" ht="15">
      <c r="B96" s="3"/>
    </row>
    <row r="97" spans="2:2" ht="15">
      <c r="B97" s="3"/>
    </row>
    <row r="98" spans="2:2" ht="15">
      <c r="B98" s="3"/>
    </row>
    <row r="99" spans="2:2" ht="15">
      <c r="B99" s="3"/>
    </row>
    <row r="100" spans="2:2" ht="15">
      <c r="B100" s="3"/>
    </row>
    <row r="101" spans="2:2" ht="15">
      <c r="B101" s="3"/>
    </row>
    <row r="102" spans="2:2" ht="15">
      <c r="B102" s="3"/>
    </row>
    <row r="103" spans="2:2" ht="15">
      <c r="B103" s="3"/>
    </row>
    <row r="104" spans="2:2" ht="15">
      <c r="B104" s="3"/>
    </row>
    <row r="105" spans="2:2" ht="15">
      <c r="B105" s="3"/>
    </row>
    <row r="106" spans="2:2" ht="15">
      <c r="B106" s="3"/>
    </row>
    <row r="107" spans="2:2" ht="15">
      <c r="B107" s="3"/>
    </row>
    <row r="108" spans="2:2" ht="15">
      <c r="B108" s="3"/>
    </row>
    <row r="109" spans="2:2" ht="15">
      <c r="B109" s="3"/>
    </row>
    <row r="110" spans="2:2" ht="15">
      <c r="B110" s="3"/>
    </row>
    <row r="111" spans="2:2" ht="15">
      <c r="B111" s="3"/>
    </row>
    <row r="112" spans="2:2" ht="15">
      <c r="B112" s="3"/>
    </row>
    <row r="113" spans="2:2" ht="15">
      <c r="B113" s="3"/>
    </row>
    <row r="114" spans="2:2" ht="15">
      <c r="B114" s="3"/>
    </row>
    <row r="115" spans="2:2" ht="15">
      <c r="B115" s="3"/>
    </row>
    <row r="116" spans="2:2" ht="15">
      <c r="B116" s="3"/>
    </row>
    <row r="117" spans="2:2" ht="15">
      <c r="B117" s="3"/>
    </row>
    <row r="118" spans="2:2" ht="15">
      <c r="B118" s="3"/>
    </row>
    <row r="119" spans="2:2" ht="15">
      <c r="B119" s="3"/>
    </row>
    <row r="120" spans="2:2" ht="15">
      <c r="B120" s="3"/>
    </row>
    <row r="121" spans="2:2" ht="15">
      <c r="B121" s="3"/>
    </row>
    <row r="122" spans="2:2" ht="15">
      <c r="B122" s="3"/>
    </row>
    <row r="123" spans="2:2" ht="15">
      <c r="B123" s="3"/>
    </row>
    <row r="124" spans="2:2" ht="15">
      <c r="B124" s="3"/>
    </row>
    <row r="125" spans="2:2" ht="15">
      <c r="B125" s="3"/>
    </row>
    <row r="126" spans="2:2" ht="15">
      <c r="B126" s="3"/>
    </row>
    <row r="127" spans="2:2" ht="15">
      <c r="B127" s="3"/>
    </row>
    <row r="128" spans="2:2" ht="15">
      <c r="B128" s="3"/>
    </row>
    <row r="129" spans="2:2" ht="15">
      <c r="B129" s="3"/>
    </row>
    <row r="130" spans="2:2" ht="15">
      <c r="B130" s="3"/>
    </row>
    <row r="131" spans="2:2" ht="15">
      <c r="B131" s="3"/>
    </row>
    <row r="132" spans="2:2" ht="15">
      <c r="B132" s="3"/>
    </row>
    <row r="133" spans="2:2" ht="15">
      <c r="B133" s="3"/>
    </row>
    <row r="134" spans="2:2" ht="15">
      <c r="B134" s="3"/>
    </row>
    <row r="135" spans="2:2" ht="15">
      <c r="B135" s="3"/>
    </row>
    <row r="136" spans="2:2" ht="15">
      <c r="B136" s="3"/>
    </row>
    <row r="137" spans="2:2" ht="15">
      <c r="B137" s="3"/>
    </row>
    <row r="138" spans="2:2" ht="15">
      <c r="B138" s="3"/>
    </row>
    <row r="139" spans="2:2" ht="15">
      <c r="B139" s="3"/>
    </row>
    <row r="140" spans="2:2" ht="15">
      <c r="B140" s="3"/>
    </row>
    <row r="141" spans="2:2" ht="15">
      <c r="B141" s="3"/>
    </row>
    <row r="142" spans="2:2" ht="15">
      <c r="B142" s="3"/>
    </row>
    <row r="143" spans="2:2" ht="15">
      <c r="B143" s="3"/>
    </row>
    <row r="144" spans="2:2" ht="15">
      <c r="B144" s="3"/>
    </row>
    <row r="145" spans="2:2" ht="15">
      <c r="B145" s="3"/>
    </row>
    <row r="146" spans="2:2" ht="15">
      <c r="B146" s="3"/>
    </row>
    <row r="147" spans="2:2" ht="15">
      <c r="B147" s="3"/>
    </row>
    <row r="148" spans="2:2" ht="15">
      <c r="B148" s="3"/>
    </row>
    <row r="149" spans="2:2" ht="15">
      <c r="B149" s="3"/>
    </row>
    <row r="150" spans="2:2" ht="15">
      <c r="B150" s="3"/>
    </row>
    <row r="151" spans="2:2" ht="15">
      <c r="B151" s="3"/>
    </row>
    <row r="152" spans="2:2" ht="15">
      <c r="B152" s="3"/>
    </row>
    <row r="153" spans="2:2" ht="15">
      <c r="B153" s="3"/>
    </row>
    <row r="154" spans="2:2" ht="15">
      <c r="B154" s="3"/>
    </row>
    <row r="155" spans="2:2" ht="15">
      <c r="B155" s="3"/>
    </row>
    <row r="156" spans="2:2" ht="15">
      <c r="B156" s="3"/>
    </row>
    <row r="157" spans="2:2" ht="15">
      <c r="B157" s="3"/>
    </row>
    <row r="158" spans="2:2" ht="15">
      <c r="B158" s="3"/>
    </row>
    <row r="159" spans="2:2" ht="15">
      <c r="B159" s="3"/>
    </row>
    <row r="160" spans="2:2" ht="15">
      <c r="B160" s="3"/>
    </row>
    <row r="161" spans="2:2" ht="15">
      <c r="B161" s="3"/>
    </row>
    <row r="162" spans="2:2" ht="15">
      <c r="B162" s="3"/>
    </row>
    <row r="163" spans="2:2" ht="15">
      <c r="B163" s="3"/>
    </row>
    <row r="164" spans="2:2" ht="15">
      <c r="B164" s="3"/>
    </row>
    <row r="165" spans="2:2" ht="15">
      <c r="B165" s="3"/>
    </row>
    <row r="166" spans="2:2" ht="15">
      <c r="B166" s="3"/>
    </row>
    <row r="167" spans="2:2" ht="15">
      <c r="B167" s="3"/>
    </row>
    <row r="168" spans="2:2" ht="15">
      <c r="B168" s="3"/>
    </row>
    <row r="169" spans="2:2" ht="15">
      <c r="B169" s="3"/>
    </row>
    <row r="170" spans="2:2" ht="15">
      <c r="B170" s="3"/>
    </row>
    <row r="171" spans="2:2" ht="15">
      <c r="B171" s="3"/>
    </row>
    <row r="172" spans="2:2" ht="15">
      <c r="B172" s="3"/>
    </row>
    <row r="173" spans="2:2" ht="15">
      <c r="B173" s="3"/>
    </row>
    <row r="174" spans="2:2" ht="15">
      <c r="B174" s="3"/>
    </row>
    <row r="175" spans="2:2" ht="15">
      <c r="B175" s="3"/>
    </row>
    <row r="176" spans="2:2" ht="15">
      <c r="B176" s="3"/>
    </row>
    <row r="177" spans="2:2" ht="15">
      <c r="B177" s="3"/>
    </row>
    <row r="178" spans="2:2" ht="15">
      <c r="B178" s="3"/>
    </row>
    <row r="179" spans="2:2" ht="15">
      <c r="B179" s="3"/>
    </row>
    <row r="180" spans="2:2" ht="15">
      <c r="B180" s="3"/>
    </row>
    <row r="181" spans="2:2" ht="15">
      <c r="B181" s="3"/>
    </row>
    <row r="182" spans="2:2" ht="15">
      <c r="B182" s="3"/>
    </row>
    <row r="183" spans="2:2" ht="15">
      <c r="B183" s="3"/>
    </row>
    <row r="184" spans="2:2" ht="15">
      <c r="B184" s="3"/>
    </row>
    <row r="185" spans="2:2" ht="15">
      <c r="B185" s="3"/>
    </row>
    <row r="186" spans="2:2" ht="15">
      <c r="B186" s="3"/>
    </row>
    <row r="187" spans="2:2" ht="15">
      <c r="B187" s="3"/>
    </row>
    <row r="188" spans="2:2" ht="15">
      <c r="B188" s="3"/>
    </row>
    <row r="189" spans="2:2" ht="15">
      <c r="B189" s="3"/>
    </row>
    <row r="190" spans="2:2" ht="15">
      <c r="B190" s="3"/>
    </row>
    <row r="191" spans="2:2" ht="15">
      <c r="B191" s="3"/>
    </row>
    <row r="192" spans="2:2" ht="15">
      <c r="B192" s="3"/>
    </row>
    <row r="193" spans="2:2" ht="15">
      <c r="B193" s="3"/>
    </row>
    <row r="194" spans="2:2" ht="15">
      <c r="B194" s="3"/>
    </row>
    <row r="195" spans="2:2" ht="15">
      <c r="B195" s="3"/>
    </row>
    <row r="196" spans="2:2" ht="15">
      <c r="B196" s="3"/>
    </row>
    <row r="197" spans="2:2" ht="15">
      <c r="B197" s="3"/>
    </row>
    <row r="198" spans="2:2" ht="15">
      <c r="B198" s="3"/>
    </row>
    <row r="199" spans="2:2" ht="15">
      <c r="B199" s="3"/>
    </row>
    <row r="200" spans="2:2" ht="15">
      <c r="B200" s="3"/>
    </row>
    <row r="201" spans="2:2" ht="15">
      <c r="B201" s="3"/>
    </row>
    <row r="202" spans="2:2" ht="15">
      <c r="B202" s="3"/>
    </row>
    <row r="203" spans="2:2" ht="15">
      <c r="B203" s="3"/>
    </row>
    <row r="204" spans="2:2" ht="15">
      <c r="B204" s="3"/>
    </row>
    <row r="205" spans="2:2" ht="15">
      <c r="B205" s="3"/>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dimension ref="A1:J206"/>
  <sheetViews>
    <sheetView showGridLines="0" workbookViewId="0">
      <selection activeCell="F4" sqref="F4"/>
    </sheetView>
  </sheetViews>
  <sheetFormatPr defaultRowHeight="26.25"/>
  <cols>
    <col min="1" max="1" width="3.42578125" style="3" customWidth="1"/>
    <col min="2" max="2" width="10.7109375" style="114" bestFit="1" customWidth="1"/>
    <col min="3" max="3" width="9.42578125" style="3" bestFit="1" customWidth="1"/>
    <col min="4" max="4" width="11.7109375" style="3" bestFit="1" customWidth="1"/>
    <col min="5" max="5" width="12.140625" style="3" bestFit="1" customWidth="1"/>
    <col min="6" max="7" width="13.85546875" style="3" bestFit="1" customWidth="1"/>
    <col min="8" max="8" width="12.140625" style="3" bestFit="1" customWidth="1"/>
    <col min="9" max="9" width="10.85546875" style="3" bestFit="1" customWidth="1"/>
    <col min="10" max="10" width="8.140625" style="3" bestFit="1" customWidth="1"/>
    <col min="11" max="26" width="10.28515625" style="3" customWidth="1"/>
    <col min="27" max="29" width="10" style="3" customWidth="1"/>
    <col min="30" max="16384" width="9.140625" style="3"/>
  </cols>
  <sheetData>
    <row r="1" spans="1:10">
      <c r="A1" s="288" t="s">
        <v>1805</v>
      </c>
      <c r="E1" s="637" t="s">
        <v>2056</v>
      </c>
      <c r="I1" s="114"/>
    </row>
    <row r="2" spans="1:10">
      <c r="A2" s="288"/>
      <c r="I2" s="114"/>
    </row>
    <row r="3" spans="1:10" ht="18.75" customHeight="1">
      <c r="A3" s="288"/>
      <c r="C3" s="289" t="s">
        <v>1806</v>
      </c>
      <c r="D3" s="290"/>
      <c r="E3" s="290"/>
      <c r="F3" s="291">
        <f>MODE(F10:F78)</f>
        <v>154275.84</v>
      </c>
      <c r="G3" s="291">
        <f t="shared" ref="G3:J3" si="0">MODE(G10:G78)</f>
        <v>143476.5312</v>
      </c>
      <c r="H3" s="291">
        <f t="shared" si="0"/>
        <v>10799.308799999999</v>
      </c>
      <c r="I3" s="292">
        <f t="shared" si="0"/>
        <v>0.255</v>
      </c>
      <c r="J3" s="291">
        <f t="shared" si="0"/>
        <v>9</v>
      </c>
    </row>
    <row r="4" spans="1:10" ht="18.75" customHeight="1">
      <c r="A4" s="288"/>
      <c r="C4" s="293" t="s">
        <v>1803</v>
      </c>
      <c r="D4" s="294"/>
      <c r="E4" s="294"/>
      <c r="F4" s="295">
        <f>MEDIAN(F11:F79)</f>
        <v>91463.039999999994</v>
      </c>
      <c r="G4" s="295">
        <f t="shared" ref="G4:J4" si="1">MEDIAN(G11:G79)</f>
        <v>77847.782399999996</v>
      </c>
      <c r="H4" s="295">
        <f t="shared" si="1"/>
        <v>10799.308799999999</v>
      </c>
      <c r="I4" s="296">
        <f t="shared" si="1"/>
        <v>0.26500000000000001</v>
      </c>
      <c r="J4" s="295">
        <f t="shared" si="1"/>
        <v>5</v>
      </c>
    </row>
    <row r="5" spans="1:10" ht="18.75" customHeight="1">
      <c r="A5" s="115"/>
      <c r="C5" s="177" t="s">
        <v>1800</v>
      </c>
      <c r="F5" s="297">
        <f>MAX(F10:F79)</f>
        <v>1447185.6</v>
      </c>
      <c r="G5" s="297">
        <f t="shared" ref="G5:J5" si="2">MAX(G10:G79)</f>
        <v>1443556</v>
      </c>
      <c r="H5" s="297">
        <f t="shared" si="2"/>
        <v>548108</v>
      </c>
      <c r="I5" s="298">
        <f t="shared" si="2"/>
        <v>0.754</v>
      </c>
      <c r="J5" s="297">
        <f t="shared" si="2"/>
        <v>13</v>
      </c>
    </row>
    <row r="6" spans="1:10" ht="18.75" customHeight="1">
      <c r="A6" s="19"/>
      <c r="B6" s="118"/>
      <c r="C6" s="299" t="s">
        <v>1802</v>
      </c>
      <c r="D6" s="294"/>
      <c r="E6" s="294"/>
      <c r="F6" s="295">
        <f>MIN(F12:F79)</f>
        <v>39600</v>
      </c>
      <c r="G6" s="295">
        <f t="shared" ref="G6:J6" si="3">MIN(G12:G79)</f>
        <v>38016</v>
      </c>
      <c r="H6" s="295">
        <f t="shared" si="3"/>
        <v>-924076</v>
      </c>
      <c r="I6" s="296">
        <f t="shared" si="3"/>
        <v>0.13400000000000001</v>
      </c>
      <c r="J6" s="295">
        <f t="shared" si="3"/>
        <v>0</v>
      </c>
    </row>
    <row r="8" spans="1:10" ht="18">
      <c r="B8" s="119" t="s">
        <v>1772</v>
      </c>
      <c r="C8" s="120"/>
      <c r="D8" s="120"/>
      <c r="E8" s="120"/>
      <c r="F8" s="121"/>
      <c r="G8" s="121"/>
      <c r="H8" s="121"/>
      <c r="I8" s="120"/>
      <c r="J8" s="122"/>
    </row>
    <row r="9" spans="1:10" ht="18">
      <c r="B9" s="276" t="s">
        <v>1799</v>
      </c>
      <c r="C9" s="124"/>
      <c r="D9" s="124"/>
      <c r="E9" s="124"/>
      <c r="F9" s="125"/>
      <c r="G9" s="125"/>
      <c r="H9" s="125"/>
      <c r="I9" s="124"/>
      <c r="J9" s="126"/>
    </row>
    <row r="10" spans="1:10" ht="18" hidden="1">
      <c r="B10" s="127"/>
      <c r="C10" s="128"/>
      <c r="D10" s="128"/>
      <c r="E10" s="128"/>
      <c r="F10" s="129"/>
      <c r="G10" s="129"/>
      <c r="H10" s="129"/>
      <c r="I10" s="128"/>
    </row>
    <row r="11" spans="1:10" s="142" customFormat="1" ht="39" customHeight="1" thickBot="1">
      <c r="B11" s="300" t="s">
        <v>1770</v>
      </c>
      <c r="C11" s="300" t="s">
        <v>176</v>
      </c>
      <c r="D11" s="300" t="s">
        <v>175</v>
      </c>
      <c r="E11" s="300" t="s">
        <v>264</v>
      </c>
      <c r="F11" s="301" t="s">
        <v>1774</v>
      </c>
      <c r="G11" s="301" t="s">
        <v>1775</v>
      </c>
      <c r="H11" s="302" t="s">
        <v>1776</v>
      </c>
      <c r="I11" s="303" t="s">
        <v>1777</v>
      </c>
      <c r="J11" s="303" t="s">
        <v>1778</v>
      </c>
    </row>
    <row r="12" spans="1:10" s="142" customFormat="1" ht="18" customHeight="1">
      <c r="B12" s="165" t="s">
        <v>1771</v>
      </c>
      <c r="C12" s="165" t="s">
        <v>1779</v>
      </c>
      <c r="D12" s="165" t="s">
        <v>1780</v>
      </c>
      <c r="E12" s="165" t="s">
        <v>1782</v>
      </c>
      <c r="F12" s="304">
        <v>154275.84</v>
      </c>
      <c r="G12" s="304">
        <v>143476.5312</v>
      </c>
      <c r="H12" s="304">
        <f t="shared" ref="H12:H43" si="4">F12-G12</f>
        <v>10799.308799999999</v>
      </c>
      <c r="I12" s="305">
        <v>0.64300000000000002</v>
      </c>
      <c r="J12" s="306">
        <v>9</v>
      </c>
    </row>
    <row r="13" spans="1:10" s="142" customFormat="1" ht="18" customHeight="1">
      <c r="B13" s="165" t="s">
        <v>1771</v>
      </c>
      <c r="C13" s="165" t="s">
        <v>1779</v>
      </c>
      <c r="D13" s="165" t="s">
        <v>1784</v>
      </c>
      <c r="E13" s="165" t="s">
        <v>1782</v>
      </c>
      <c r="F13" s="304">
        <v>57024</v>
      </c>
      <c r="G13" s="304">
        <v>54743.040000000001</v>
      </c>
      <c r="H13" s="304">
        <f t="shared" si="4"/>
        <v>2280.9599999999991</v>
      </c>
      <c r="I13" s="305">
        <v>0.59199999999999997</v>
      </c>
      <c r="J13" s="306">
        <v>8</v>
      </c>
    </row>
    <row r="14" spans="1:10" s="142" customFormat="1" ht="18" customHeight="1">
      <c r="B14" s="165" t="s">
        <v>1771</v>
      </c>
      <c r="C14" s="165" t="s">
        <v>1779</v>
      </c>
      <c r="D14" s="165" t="s">
        <v>1784</v>
      </c>
      <c r="E14" s="165" t="s">
        <v>1782</v>
      </c>
      <c r="F14" s="304">
        <v>69465.600000000006</v>
      </c>
      <c r="G14" s="304">
        <v>66686.975999999995</v>
      </c>
      <c r="H14" s="304">
        <f t="shared" si="4"/>
        <v>2778.6240000000107</v>
      </c>
      <c r="I14" s="305">
        <v>0.41199999999999998</v>
      </c>
      <c r="J14" s="306">
        <v>9</v>
      </c>
    </row>
    <row r="15" spans="1:10" s="142" customFormat="1" ht="18" customHeight="1">
      <c r="B15" s="165" t="s">
        <v>1771</v>
      </c>
      <c r="C15" s="165" t="s">
        <v>1779</v>
      </c>
      <c r="D15" s="165" t="s">
        <v>1780</v>
      </c>
      <c r="E15" s="165" t="s">
        <v>1782</v>
      </c>
      <c r="F15" s="304">
        <v>91463.039999999994</v>
      </c>
      <c r="G15" s="304">
        <v>72255.801599999992</v>
      </c>
      <c r="H15" s="304">
        <f t="shared" si="4"/>
        <v>19207.238400000002</v>
      </c>
      <c r="I15" s="305">
        <v>0.35599999999999998</v>
      </c>
      <c r="J15" s="306">
        <v>8</v>
      </c>
    </row>
    <row r="16" spans="1:10" s="142" customFormat="1" ht="18" customHeight="1">
      <c r="B16" s="165" t="s">
        <v>1771</v>
      </c>
      <c r="C16" s="165" t="s">
        <v>1779</v>
      </c>
      <c r="D16" s="165" t="s">
        <v>1783</v>
      </c>
      <c r="E16" s="165" t="s">
        <v>1782</v>
      </c>
      <c r="F16" s="304">
        <v>94936.320000000007</v>
      </c>
      <c r="G16" s="304">
        <v>77847.782399999996</v>
      </c>
      <c r="H16" s="304">
        <f t="shared" si="4"/>
        <v>17088.537600000011</v>
      </c>
      <c r="I16" s="305">
        <v>0.52900000000000003</v>
      </c>
      <c r="J16" s="306">
        <v>9</v>
      </c>
    </row>
    <row r="17" spans="2:10" s="142" customFormat="1" ht="18" customHeight="1">
      <c r="B17" s="165" t="s">
        <v>1771</v>
      </c>
      <c r="C17" s="165" t="s">
        <v>1779</v>
      </c>
      <c r="D17" s="165" t="s">
        <v>1780</v>
      </c>
      <c r="E17" s="165" t="s">
        <v>1781</v>
      </c>
      <c r="F17" s="304">
        <v>356040</v>
      </c>
      <c r="G17" s="304">
        <v>259909.2</v>
      </c>
      <c r="H17" s="304">
        <f t="shared" si="4"/>
        <v>96130.799999999988</v>
      </c>
      <c r="I17" s="305">
        <v>0.255</v>
      </c>
      <c r="J17" s="306">
        <v>2</v>
      </c>
    </row>
    <row r="18" spans="2:10" s="142" customFormat="1" ht="18" customHeight="1">
      <c r="B18" s="165" t="s">
        <v>1771</v>
      </c>
      <c r="C18" s="165" t="s">
        <v>1779</v>
      </c>
      <c r="D18" s="165" t="s">
        <v>1780</v>
      </c>
      <c r="E18" s="165" t="s">
        <v>1781</v>
      </c>
      <c r="F18" s="304">
        <v>113923.584</v>
      </c>
      <c r="G18" s="304">
        <v>93417.338879999996</v>
      </c>
      <c r="H18" s="304">
        <f t="shared" si="4"/>
        <v>20506.245120000007</v>
      </c>
      <c r="I18" s="305">
        <v>0.255</v>
      </c>
      <c r="J18" s="306">
        <v>6</v>
      </c>
    </row>
    <row r="19" spans="2:10" s="142" customFormat="1" ht="18" customHeight="1">
      <c r="B19" s="165" t="s">
        <v>1771</v>
      </c>
      <c r="C19" s="165" t="s">
        <v>1779</v>
      </c>
      <c r="D19" s="165" t="s">
        <v>1783</v>
      </c>
      <c r="E19" s="165" t="s">
        <v>1781</v>
      </c>
      <c r="F19" s="304">
        <v>90305.279999999999</v>
      </c>
      <c r="G19" s="304">
        <v>70438.118399999992</v>
      </c>
      <c r="H19" s="304">
        <f t="shared" si="4"/>
        <v>19867.161600000007</v>
      </c>
      <c r="I19" s="305">
        <v>0.255</v>
      </c>
      <c r="J19" s="306">
        <v>3</v>
      </c>
    </row>
    <row r="20" spans="2:10" s="142" customFormat="1" ht="18" customHeight="1">
      <c r="B20" s="165" t="s">
        <v>1771</v>
      </c>
      <c r="C20" s="165" t="s">
        <v>1779</v>
      </c>
      <c r="D20" s="165" t="s">
        <v>1780</v>
      </c>
      <c r="E20" s="165" t="s">
        <v>1781</v>
      </c>
      <c r="F20" s="304">
        <v>47520</v>
      </c>
      <c r="G20" s="304">
        <v>45619.199999999997</v>
      </c>
      <c r="H20" s="304">
        <f t="shared" si="4"/>
        <v>1900.8000000000029</v>
      </c>
      <c r="I20" s="305">
        <v>0.247</v>
      </c>
      <c r="J20" s="306">
        <v>6</v>
      </c>
    </row>
    <row r="21" spans="2:10" s="142" customFormat="1" ht="18" customHeight="1">
      <c r="B21" s="165" t="s">
        <v>1771</v>
      </c>
      <c r="C21" s="165" t="s">
        <v>1779</v>
      </c>
      <c r="D21" s="165" t="s">
        <v>1784</v>
      </c>
      <c r="E21" s="165" t="s">
        <v>1781</v>
      </c>
      <c r="F21" s="304">
        <v>261004.79999999999</v>
      </c>
      <c r="G21" s="304">
        <v>221854.07999999999</v>
      </c>
      <c r="H21" s="304">
        <f t="shared" si="4"/>
        <v>39150.720000000001</v>
      </c>
      <c r="I21" s="305">
        <v>0.23300000000000001</v>
      </c>
      <c r="J21" s="306">
        <v>6</v>
      </c>
    </row>
    <row r="22" spans="2:10" s="142" customFormat="1" ht="18" customHeight="1">
      <c r="B22" s="165" t="s">
        <v>1771</v>
      </c>
      <c r="C22" s="165" t="s">
        <v>1779</v>
      </c>
      <c r="D22" s="165" t="s">
        <v>1784</v>
      </c>
      <c r="E22" s="165" t="s">
        <v>1781</v>
      </c>
      <c r="F22" s="304">
        <v>92620.800000000003</v>
      </c>
      <c r="G22" s="304">
        <v>82432.511999999988</v>
      </c>
      <c r="H22" s="304">
        <f t="shared" si="4"/>
        <v>10188.288000000015</v>
      </c>
      <c r="I22" s="305">
        <v>0.187</v>
      </c>
      <c r="J22" s="306">
        <v>3</v>
      </c>
    </row>
    <row r="23" spans="2:10" s="142" customFormat="1" ht="18" customHeight="1">
      <c r="B23" s="165" t="s">
        <v>1771</v>
      </c>
      <c r="C23" s="165" t="s">
        <v>1779</v>
      </c>
      <c r="D23" s="165" t="s">
        <v>1783</v>
      </c>
      <c r="E23" s="165" t="s">
        <v>1782</v>
      </c>
      <c r="F23" s="304">
        <v>394275.84000000003</v>
      </c>
      <c r="G23" s="304">
        <v>366676.53120000003</v>
      </c>
      <c r="H23" s="304">
        <f t="shared" si="4"/>
        <v>27599.308799999999</v>
      </c>
      <c r="I23" s="305">
        <v>0.154</v>
      </c>
      <c r="J23" s="306">
        <v>0</v>
      </c>
    </row>
    <row r="24" spans="2:10" s="142" customFormat="1" ht="18" customHeight="1">
      <c r="B24" s="165" t="s">
        <v>1771</v>
      </c>
      <c r="C24" s="165" t="s">
        <v>1779</v>
      </c>
      <c r="D24" s="165" t="s">
        <v>1783</v>
      </c>
      <c r="E24" s="165" t="s">
        <v>1781</v>
      </c>
      <c r="F24" s="304">
        <v>116121.60000000001</v>
      </c>
      <c r="G24" s="304">
        <v>84768.767999999996</v>
      </c>
      <c r="H24" s="304">
        <f t="shared" si="4"/>
        <v>31352.832000000009</v>
      </c>
      <c r="I24" s="305">
        <v>0.13400000000000001</v>
      </c>
      <c r="J24" s="306">
        <v>3</v>
      </c>
    </row>
    <row r="25" spans="2:10" s="142" customFormat="1" ht="18" customHeight="1">
      <c r="B25" s="165" t="s">
        <v>1785</v>
      </c>
      <c r="C25" s="165" t="s">
        <v>1788</v>
      </c>
      <c r="D25" s="165" t="s">
        <v>1792</v>
      </c>
      <c r="E25" s="165" t="s">
        <v>1782</v>
      </c>
      <c r="F25" s="304">
        <v>91224</v>
      </c>
      <c r="G25" s="304">
        <v>66593.52</v>
      </c>
      <c r="H25" s="304">
        <f t="shared" si="4"/>
        <v>24630.479999999996</v>
      </c>
      <c r="I25" s="305">
        <v>0.65</v>
      </c>
      <c r="J25" s="306">
        <v>6</v>
      </c>
    </row>
    <row r="26" spans="2:10" s="142" customFormat="1" ht="18" customHeight="1">
      <c r="B26" s="165" t="s">
        <v>1785</v>
      </c>
      <c r="C26" s="165" t="s">
        <v>1786</v>
      </c>
      <c r="D26" s="165" t="s">
        <v>1791</v>
      </c>
      <c r="E26" s="165" t="s">
        <v>1781</v>
      </c>
      <c r="F26" s="304">
        <v>76032</v>
      </c>
      <c r="G26" s="304">
        <v>75271.679999999993</v>
      </c>
      <c r="H26" s="304">
        <f t="shared" si="4"/>
        <v>760.32000000000698</v>
      </c>
      <c r="I26" s="305">
        <v>0.623</v>
      </c>
      <c r="J26" s="306">
        <v>0</v>
      </c>
    </row>
    <row r="27" spans="2:10" s="142" customFormat="1" ht="18" customHeight="1">
      <c r="B27" s="165" t="s">
        <v>1785</v>
      </c>
      <c r="C27" s="165" t="s">
        <v>1788</v>
      </c>
      <c r="D27" s="165" t="s">
        <v>1789</v>
      </c>
      <c r="E27" s="165" t="s">
        <v>1782</v>
      </c>
      <c r="F27" s="304">
        <v>121197.6</v>
      </c>
      <c r="G27" s="304">
        <v>112713.76800000001</v>
      </c>
      <c r="H27" s="304">
        <f t="shared" si="4"/>
        <v>8483.8319999999949</v>
      </c>
      <c r="I27" s="305">
        <v>0.45</v>
      </c>
      <c r="J27" s="306">
        <v>13</v>
      </c>
    </row>
    <row r="28" spans="2:10" s="142" customFormat="1" ht="18" customHeight="1">
      <c r="B28" s="165" t="s">
        <v>1785</v>
      </c>
      <c r="C28" s="165" t="s">
        <v>1786</v>
      </c>
      <c r="D28" s="165" t="s">
        <v>1787</v>
      </c>
      <c r="E28" s="165" t="s">
        <v>1782</v>
      </c>
      <c r="F28" s="304">
        <v>181988</v>
      </c>
      <c r="G28" s="304">
        <v>205646.44</v>
      </c>
      <c r="H28" s="304">
        <f t="shared" si="4"/>
        <v>-23658.440000000002</v>
      </c>
      <c r="I28" s="305">
        <v>0.432</v>
      </c>
      <c r="J28" s="306">
        <v>2</v>
      </c>
    </row>
    <row r="29" spans="2:10" s="142" customFormat="1" ht="18" customHeight="1">
      <c r="B29" s="165" t="s">
        <v>1785</v>
      </c>
      <c r="C29" s="165" t="s">
        <v>1788</v>
      </c>
      <c r="D29" s="165" t="s">
        <v>1789</v>
      </c>
      <c r="E29" s="165" t="s">
        <v>1782</v>
      </c>
      <c r="F29" s="304">
        <v>110772</v>
      </c>
      <c r="G29" s="304">
        <v>94156.2</v>
      </c>
      <c r="H29" s="304">
        <f t="shared" si="4"/>
        <v>16615.800000000003</v>
      </c>
      <c r="I29" s="305">
        <v>0.39800000000000002</v>
      </c>
      <c r="J29" s="306">
        <v>9</v>
      </c>
    </row>
    <row r="30" spans="2:10" s="142" customFormat="1" ht="18" customHeight="1">
      <c r="B30" s="165" t="s">
        <v>1785</v>
      </c>
      <c r="C30" s="165" t="s">
        <v>1786</v>
      </c>
      <c r="D30" s="165" t="s">
        <v>1790</v>
      </c>
      <c r="E30" s="165" t="s">
        <v>1781</v>
      </c>
      <c r="F30" s="304">
        <v>128563.2</v>
      </c>
      <c r="G30" s="304">
        <v>119563.776</v>
      </c>
      <c r="H30" s="304">
        <f t="shared" si="4"/>
        <v>8999.4239999999991</v>
      </c>
      <c r="I30" s="305">
        <v>0.39800000000000002</v>
      </c>
      <c r="J30" s="306">
        <v>8</v>
      </c>
    </row>
    <row r="31" spans="2:10" s="142" customFormat="1" ht="18" customHeight="1">
      <c r="B31" s="165" t="s">
        <v>1785</v>
      </c>
      <c r="C31" s="165" t="s">
        <v>1786</v>
      </c>
      <c r="D31" s="165" t="s">
        <v>1787</v>
      </c>
      <c r="E31" s="165" t="s">
        <v>1781</v>
      </c>
      <c r="F31" s="304">
        <v>96768</v>
      </c>
      <c r="G31" s="304">
        <v>70640.639999999999</v>
      </c>
      <c r="H31" s="304">
        <f t="shared" si="4"/>
        <v>26127.360000000001</v>
      </c>
      <c r="I31" s="305">
        <v>0.34499999999999997</v>
      </c>
      <c r="J31" s="306">
        <v>2</v>
      </c>
    </row>
    <row r="32" spans="2:10" s="142" customFormat="1" ht="18" customHeight="1">
      <c r="B32" s="165" t="s">
        <v>1785</v>
      </c>
      <c r="C32" s="165" t="s">
        <v>1788</v>
      </c>
      <c r="D32" s="165" t="s">
        <v>1792</v>
      </c>
      <c r="E32" s="165" t="s">
        <v>1782</v>
      </c>
      <c r="F32" s="304">
        <v>110772</v>
      </c>
      <c r="G32" s="304">
        <v>125172.36</v>
      </c>
      <c r="H32" s="304">
        <f t="shared" si="4"/>
        <v>-14400.36</v>
      </c>
      <c r="I32" s="305">
        <v>0.498</v>
      </c>
      <c r="J32" s="306">
        <v>1</v>
      </c>
    </row>
    <row r="33" spans="2:10" s="142" customFormat="1" ht="18" customHeight="1">
      <c r="B33" s="165" t="s">
        <v>1785</v>
      </c>
      <c r="C33" s="165" t="s">
        <v>1786</v>
      </c>
      <c r="D33" s="165" t="s">
        <v>1787</v>
      </c>
      <c r="E33" s="165" t="s">
        <v>1781</v>
      </c>
      <c r="F33" s="304">
        <v>432900</v>
      </c>
      <c r="G33" s="304">
        <v>367965</v>
      </c>
      <c r="H33" s="304">
        <f t="shared" si="4"/>
        <v>64935</v>
      </c>
      <c r="I33" s="305">
        <v>0.247</v>
      </c>
      <c r="J33" s="306">
        <v>2</v>
      </c>
    </row>
    <row r="34" spans="2:10" s="142" customFormat="1" ht="18" customHeight="1">
      <c r="B34" s="165" t="s">
        <v>1785</v>
      </c>
      <c r="C34" s="165" t="s">
        <v>1788</v>
      </c>
      <c r="D34" s="165" t="s">
        <v>1792</v>
      </c>
      <c r="E34" s="165" t="s">
        <v>1782</v>
      </c>
      <c r="F34" s="304">
        <v>91224</v>
      </c>
      <c r="G34" s="304">
        <v>127713.60000000001</v>
      </c>
      <c r="H34" s="304">
        <f t="shared" si="4"/>
        <v>-36489.600000000006</v>
      </c>
      <c r="I34" s="305">
        <v>0.247</v>
      </c>
      <c r="J34" s="306">
        <v>4</v>
      </c>
    </row>
    <row r="35" spans="2:10" s="142" customFormat="1" ht="18" customHeight="1">
      <c r="B35" s="165" t="s">
        <v>1785</v>
      </c>
      <c r="C35" s="165" t="s">
        <v>1788</v>
      </c>
      <c r="D35" s="165" t="s">
        <v>1792</v>
      </c>
      <c r="E35" s="165" t="s">
        <v>1781</v>
      </c>
      <c r="F35" s="304">
        <v>217504</v>
      </c>
      <c r="G35" s="304">
        <v>184878.4</v>
      </c>
      <c r="H35" s="304">
        <f t="shared" si="4"/>
        <v>32625.600000000006</v>
      </c>
      <c r="I35" s="305">
        <v>0.23300000000000001</v>
      </c>
      <c r="J35" s="306">
        <v>9</v>
      </c>
    </row>
    <row r="36" spans="2:10" s="142" customFormat="1" ht="18" customHeight="1">
      <c r="B36" s="165" t="s">
        <v>1785</v>
      </c>
      <c r="C36" s="165" t="s">
        <v>1786</v>
      </c>
      <c r="D36" s="165" t="s">
        <v>1790</v>
      </c>
      <c r="E36" s="165" t="s">
        <v>1781</v>
      </c>
      <c r="F36" s="304">
        <v>128563.2</v>
      </c>
      <c r="G36" s="304">
        <v>119563.776</v>
      </c>
      <c r="H36" s="304">
        <f t="shared" si="4"/>
        <v>8999.4239999999991</v>
      </c>
      <c r="I36" s="305">
        <v>0.23300000000000001</v>
      </c>
      <c r="J36" s="306">
        <v>1</v>
      </c>
    </row>
    <row r="37" spans="2:10" s="142" customFormat="1" ht="18" customHeight="1">
      <c r="B37" s="165" t="s">
        <v>1785</v>
      </c>
      <c r="C37" s="165" t="s">
        <v>1788</v>
      </c>
      <c r="D37" s="165" t="s">
        <v>1789</v>
      </c>
      <c r="E37" s="165" t="s">
        <v>1782</v>
      </c>
      <c r="F37" s="304">
        <v>121197.6</v>
      </c>
      <c r="G37" s="304">
        <v>112713.76800000001</v>
      </c>
      <c r="H37" s="304">
        <f t="shared" si="4"/>
        <v>8483.8319999999949</v>
      </c>
      <c r="I37" s="305">
        <v>0.23300000000000001</v>
      </c>
      <c r="J37" s="306">
        <v>0</v>
      </c>
    </row>
    <row r="38" spans="2:10" s="142" customFormat="1" ht="18" customHeight="1">
      <c r="B38" s="165" t="s">
        <v>1785</v>
      </c>
      <c r="C38" s="165" t="s">
        <v>1788</v>
      </c>
      <c r="D38" s="165" t="s">
        <v>1792</v>
      </c>
      <c r="E38" s="165" t="s">
        <v>1782</v>
      </c>
      <c r="F38" s="304">
        <v>110772</v>
      </c>
      <c r="G38" s="304">
        <v>125172.36</v>
      </c>
      <c r="H38" s="304">
        <f t="shared" si="4"/>
        <v>-14400.36</v>
      </c>
      <c r="I38" s="305">
        <v>0.23300000000000001</v>
      </c>
      <c r="J38" s="306">
        <v>0</v>
      </c>
    </row>
    <row r="39" spans="2:10" s="142" customFormat="1" ht="18" customHeight="1">
      <c r="B39" s="165" t="s">
        <v>1785</v>
      </c>
      <c r="C39" s="165" t="s">
        <v>1788</v>
      </c>
      <c r="D39" s="165" t="s">
        <v>1792</v>
      </c>
      <c r="E39" s="165" t="s">
        <v>1781</v>
      </c>
      <c r="F39" s="304">
        <v>128563.2</v>
      </c>
      <c r="G39" s="304">
        <v>119563.776</v>
      </c>
      <c r="H39" s="304">
        <f t="shared" si="4"/>
        <v>8999.4239999999991</v>
      </c>
      <c r="I39" s="305">
        <v>0.154</v>
      </c>
      <c r="J39" s="306">
        <v>3</v>
      </c>
    </row>
    <row r="40" spans="2:10" s="142" customFormat="1" ht="18" customHeight="1">
      <c r="B40" s="165" t="s">
        <v>1785</v>
      </c>
      <c r="C40" s="165" t="s">
        <v>1786</v>
      </c>
      <c r="D40" s="165" t="s">
        <v>1787</v>
      </c>
      <c r="E40" s="165" t="s">
        <v>1782</v>
      </c>
      <c r="F40" s="304">
        <v>121197.6</v>
      </c>
      <c r="G40" s="304">
        <v>112713.76800000001</v>
      </c>
      <c r="H40" s="304">
        <f t="shared" si="4"/>
        <v>8483.8319999999949</v>
      </c>
      <c r="I40" s="305">
        <v>0.154</v>
      </c>
      <c r="J40" s="306">
        <v>4</v>
      </c>
    </row>
    <row r="41" spans="2:10" s="142" customFormat="1" ht="18" customHeight="1">
      <c r="B41" s="165" t="s">
        <v>1785</v>
      </c>
      <c r="C41" s="165" t="s">
        <v>1788</v>
      </c>
      <c r="D41" s="165" t="s">
        <v>1792</v>
      </c>
      <c r="E41" s="165" t="s">
        <v>1782</v>
      </c>
      <c r="F41" s="304">
        <v>71676</v>
      </c>
      <c r="G41" s="304">
        <v>70959.240000000005</v>
      </c>
      <c r="H41" s="304">
        <f t="shared" si="4"/>
        <v>716.75999999999476</v>
      </c>
      <c r="I41" s="305">
        <v>0.13400000000000001</v>
      </c>
      <c r="J41" s="306">
        <v>9</v>
      </c>
    </row>
    <row r="42" spans="2:10" s="142" customFormat="1" ht="18" customHeight="1">
      <c r="B42" s="165" t="s">
        <v>1793</v>
      </c>
      <c r="C42" s="165" t="s">
        <v>1779</v>
      </c>
      <c r="D42" s="165" t="s">
        <v>1780</v>
      </c>
      <c r="E42" s="165" t="s">
        <v>1794</v>
      </c>
      <c r="F42" s="304">
        <v>94936.320000000007</v>
      </c>
      <c r="G42" s="304">
        <v>77847.782399999996</v>
      </c>
      <c r="H42" s="304">
        <f t="shared" si="4"/>
        <v>17088.537600000011</v>
      </c>
      <c r="I42" s="305">
        <v>0.57599999999999996</v>
      </c>
      <c r="J42" s="306">
        <v>8</v>
      </c>
    </row>
    <row r="43" spans="2:10" s="142" customFormat="1" ht="18" customHeight="1">
      <c r="B43" s="165" t="s">
        <v>1793</v>
      </c>
      <c r="C43" s="165" t="s">
        <v>1779</v>
      </c>
      <c r="D43" s="165" t="s">
        <v>1783</v>
      </c>
      <c r="E43" s="165" t="s">
        <v>1794</v>
      </c>
      <c r="F43" s="304">
        <v>69465.600000000006</v>
      </c>
      <c r="G43" s="304">
        <v>66686.975999999995</v>
      </c>
      <c r="H43" s="304">
        <f t="shared" si="4"/>
        <v>2778.6240000000107</v>
      </c>
      <c r="I43" s="305">
        <v>0.57299999999999995</v>
      </c>
      <c r="J43" s="306">
        <v>8</v>
      </c>
    </row>
    <row r="44" spans="2:10" s="142" customFormat="1" ht="18" customHeight="1">
      <c r="B44" s="165" t="s">
        <v>1793</v>
      </c>
      <c r="C44" s="165" t="s">
        <v>1779</v>
      </c>
      <c r="D44" s="165" t="s">
        <v>1780</v>
      </c>
      <c r="E44" s="165" t="s">
        <v>1781</v>
      </c>
      <c r="F44" s="304">
        <v>519480</v>
      </c>
      <c r="G44" s="304">
        <v>1443556</v>
      </c>
      <c r="H44" s="304">
        <f t="shared" ref="H44:H75" si="5">F44-G44</f>
        <v>-924076</v>
      </c>
      <c r="I44" s="305">
        <v>0.39800000000000002</v>
      </c>
      <c r="J44" s="306">
        <v>6</v>
      </c>
    </row>
    <row r="45" spans="2:10" s="142" customFormat="1" ht="18" customHeight="1">
      <c r="B45" s="165" t="s">
        <v>1793</v>
      </c>
      <c r="C45" s="165" t="s">
        <v>1779</v>
      </c>
      <c r="D45" s="165" t="s">
        <v>1784</v>
      </c>
      <c r="E45" s="165" t="s">
        <v>1795</v>
      </c>
      <c r="F45" s="304">
        <v>113923.584</v>
      </c>
      <c r="G45" s="304">
        <v>93417.338879999996</v>
      </c>
      <c r="H45" s="304">
        <f t="shared" si="5"/>
        <v>20506.245120000007</v>
      </c>
      <c r="I45" s="305">
        <v>0.35599999999999998</v>
      </c>
      <c r="J45" s="306">
        <v>2</v>
      </c>
    </row>
    <row r="46" spans="2:10" s="142" customFormat="1" ht="18" customHeight="1">
      <c r="B46" s="165" t="s">
        <v>1793</v>
      </c>
      <c r="C46" s="165" t="s">
        <v>1779</v>
      </c>
      <c r="D46" s="165" t="s">
        <v>1783</v>
      </c>
      <c r="E46" s="165" t="s">
        <v>1795</v>
      </c>
      <c r="F46" s="304">
        <v>154275.84</v>
      </c>
      <c r="G46" s="304">
        <v>143476.5312</v>
      </c>
      <c r="H46" s="304">
        <f t="shared" si="5"/>
        <v>10799.308799999999</v>
      </c>
      <c r="I46" s="305">
        <v>0.52200000000000002</v>
      </c>
      <c r="J46" s="306">
        <v>4</v>
      </c>
    </row>
    <row r="47" spans="2:10" s="142" customFormat="1" ht="18" customHeight="1">
      <c r="B47" s="165" t="s">
        <v>1793</v>
      </c>
      <c r="C47" s="165" t="s">
        <v>1779</v>
      </c>
      <c r="D47" s="165" t="s">
        <v>1780</v>
      </c>
      <c r="E47" s="165" t="s">
        <v>1795</v>
      </c>
      <c r="F47" s="304">
        <v>91238.399999999994</v>
      </c>
      <c r="G47" s="304">
        <v>90326.015999999989</v>
      </c>
      <c r="H47" s="304">
        <f t="shared" si="5"/>
        <v>912.38400000000547</v>
      </c>
      <c r="I47" s="305">
        <v>0.315</v>
      </c>
      <c r="J47" s="306">
        <v>9</v>
      </c>
    </row>
    <row r="48" spans="2:10" s="142" customFormat="1" ht="18" customHeight="1">
      <c r="B48" s="165" t="s">
        <v>1793</v>
      </c>
      <c r="C48" s="165" t="s">
        <v>1779</v>
      </c>
      <c r="D48" s="165" t="s">
        <v>1784</v>
      </c>
      <c r="E48" s="165" t="s">
        <v>1794</v>
      </c>
      <c r="F48" s="304">
        <v>91463.039999999994</v>
      </c>
      <c r="G48" s="304">
        <v>72255.801599999992</v>
      </c>
      <c r="H48" s="304">
        <f t="shared" si="5"/>
        <v>19207.238400000002</v>
      </c>
      <c r="I48" s="305">
        <v>0.27600000000000002</v>
      </c>
      <c r="J48" s="306">
        <v>5</v>
      </c>
    </row>
    <row r="49" spans="2:10" s="142" customFormat="1" ht="18" customHeight="1">
      <c r="B49" s="165" t="s">
        <v>1793</v>
      </c>
      <c r="C49" s="165" t="s">
        <v>1779</v>
      </c>
      <c r="D49" s="165" t="s">
        <v>1780</v>
      </c>
      <c r="E49" s="165" t="s">
        <v>1795</v>
      </c>
      <c r="F49" s="304">
        <v>90305.279999999999</v>
      </c>
      <c r="G49" s="304">
        <v>70438.118399999992</v>
      </c>
      <c r="H49" s="304">
        <f t="shared" si="5"/>
        <v>19867.161600000007</v>
      </c>
      <c r="I49" s="307">
        <v>0.26500000000000001</v>
      </c>
      <c r="J49" s="306">
        <v>2</v>
      </c>
    </row>
    <row r="50" spans="2:10" s="142" customFormat="1" ht="18" customHeight="1">
      <c r="B50" s="165" t="s">
        <v>1793</v>
      </c>
      <c r="C50" s="165" t="s">
        <v>1779</v>
      </c>
      <c r="D50" s="165" t="s">
        <v>1783</v>
      </c>
      <c r="E50" s="165" t="s">
        <v>1795</v>
      </c>
      <c r="F50" s="304">
        <v>92620.800000000003</v>
      </c>
      <c r="G50" s="304">
        <v>104661.504</v>
      </c>
      <c r="H50" s="304">
        <f t="shared" si="5"/>
        <v>-12040.703999999998</v>
      </c>
      <c r="I50" s="305">
        <v>0.255</v>
      </c>
      <c r="J50" s="306">
        <v>9</v>
      </c>
    </row>
    <row r="51" spans="2:10" s="142" customFormat="1" ht="18" customHeight="1">
      <c r="B51" s="165" t="s">
        <v>1793</v>
      </c>
      <c r="C51" s="165" t="s">
        <v>1779</v>
      </c>
      <c r="D51" s="165" t="s">
        <v>1784</v>
      </c>
      <c r="E51" s="165" t="s">
        <v>1794</v>
      </c>
      <c r="F51" s="304">
        <v>154275.84</v>
      </c>
      <c r="G51" s="304">
        <v>143476.5312</v>
      </c>
      <c r="H51" s="304">
        <f t="shared" si="5"/>
        <v>10799.308799999999</v>
      </c>
      <c r="I51" s="305">
        <v>0.247</v>
      </c>
      <c r="J51" s="306">
        <v>8</v>
      </c>
    </row>
    <row r="52" spans="2:10" s="142" customFormat="1" ht="18" customHeight="1">
      <c r="B52" s="165" t="s">
        <v>1793</v>
      </c>
      <c r="C52" s="165" t="s">
        <v>1779</v>
      </c>
      <c r="D52" s="165" t="s">
        <v>1784</v>
      </c>
      <c r="E52" s="165" t="s">
        <v>1795</v>
      </c>
      <c r="F52" s="304">
        <v>1447185.6</v>
      </c>
      <c r="G52" s="304">
        <v>975545</v>
      </c>
      <c r="H52" s="304">
        <f t="shared" si="5"/>
        <v>471640.60000000009</v>
      </c>
      <c r="I52" s="305">
        <v>0.23300000000000001</v>
      </c>
      <c r="J52" s="306">
        <v>9</v>
      </c>
    </row>
    <row r="53" spans="2:10" s="142" customFormat="1" ht="18" customHeight="1">
      <c r="B53" s="165" t="s">
        <v>1793</v>
      </c>
      <c r="C53" s="165" t="s">
        <v>1779</v>
      </c>
      <c r="D53" s="165" t="s">
        <v>1783</v>
      </c>
      <c r="E53" s="165" t="s">
        <v>1794</v>
      </c>
      <c r="F53" s="304">
        <v>113923.584</v>
      </c>
      <c r="G53" s="304">
        <v>93417.338879999996</v>
      </c>
      <c r="H53" s="304">
        <f t="shared" si="5"/>
        <v>20506.245120000007</v>
      </c>
      <c r="I53" s="305">
        <v>0.187</v>
      </c>
      <c r="J53" s="306">
        <v>5</v>
      </c>
    </row>
    <row r="54" spans="2:10" s="142" customFormat="1" ht="18" customHeight="1">
      <c r="B54" s="165" t="s">
        <v>1793</v>
      </c>
      <c r="C54" s="165" t="s">
        <v>1779</v>
      </c>
      <c r="D54" s="165" t="s">
        <v>1784</v>
      </c>
      <c r="E54" s="165" t="s">
        <v>1795</v>
      </c>
      <c r="F54" s="304">
        <v>94936.320000000007</v>
      </c>
      <c r="G54" s="304">
        <v>77847.782399999996</v>
      </c>
      <c r="H54" s="304">
        <f t="shared" si="5"/>
        <v>17088.537600000011</v>
      </c>
      <c r="I54" s="305">
        <v>0.13400000000000001</v>
      </c>
      <c r="J54" s="306">
        <v>4</v>
      </c>
    </row>
    <row r="55" spans="2:10" s="142" customFormat="1" ht="18" customHeight="1">
      <c r="B55" s="165" t="s">
        <v>1796</v>
      </c>
      <c r="C55" s="165" t="s">
        <v>1786</v>
      </c>
      <c r="D55" s="165" t="s">
        <v>1787</v>
      </c>
      <c r="E55" s="165" t="s">
        <v>1781</v>
      </c>
      <c r="F55" s="304">
        <v>1205988</v>
      </c>
      <c r="G55" s="304">
        <v>657880</v>
      </c>
      <c r="H55" s="304">
        <f t="shared" si="5"/>
        <v>548108</v>
      </c>
      <c r="I55" s="305">
        <v>0.432</v>
      </c>
      <c r="J55" s="306">
        <v>10</v>
      </c>
    </row>
    <row r="56" spans="2:10" s="142" customFormat="1" ht="18" customHeight="1">
      <c r="B56" s="165" t="s">
        <v>1796</v>
      </c>
      <c r="C56" s="165" t="s">
        <v>1786</v>
      </c>
      <c r="D56" s="165" t="s">
        <v>1787</v>
      </c>
      <c r="E56" s="165" t="s">
        <v>1781</v>
      </c>
      <c r="F56" s="304">
        <f>128563.2+200000</f>
        <v>328563.20000000001</v>
      </c>
      <c r="G56" s="304">
        <v>305563.77600000001</v>
      </c>
      <c r="H56" s="304">
        <f t="shared" si="5"/>
        <v>22999.423999999999</v>
      </c>
      <c r="I56" s="307">
        <v>0.39800000000000002</v>
      </c>
      <c r="J56" s="306">
        <v>3</v>
      </c>
    </row>
    <row r="57" spans="2:10" s="142" customFormat="1" ht="18" customHeight="1">
      <c r="B57" s="165" t="s">
        <v>1797</v>
      </c>
      <c r="C57" s="165" t="s">
        <v>1788</v>
      </c>
      <c r="D57" s="165" t="s">
        <v>1792</v>
      </c>
      <c r="E57" s="165" t="s">
        <v>1794</v>
      </c>
      <c r="F57" s="304">
        <v>54120</v>
      </c>
      <c r="G57" s="304">
        <v>44378.400000000001</v>
      </c>
      <c r="H57" s="304">
        <f t="shared" si="5"/>
        <v>9741.5999999999985</v>
      </c>
      <c r="I57" s="305">
        <v>0.54300000000000004</v>
      </c>
      <c r="J57" s="306">
        <v>3</v>
      </c>
    </row>
    <row r="58" spans="2:10" s="142" customFormat="1" ht="18" customHeight="1">
      <c r="B58" s="165" t="s">
        <v>1797</v>
      </c>
      <c r="C58" s="165" t="s">
        <v>1786</v>
      </c>
      <c r="D58" s="165" t="s">
        <v>1787</v>
      </c>
      <c r="E58" s="165" t="s">
        <v>1794</v>
      </c>
      <c r="F58" s="304">
        <v>39600</v>
      </c>
      <c r="G58" s="304">
        <v>38016</v>
      </c>
      <c r="H58" s="304">
        <f t="shared" si="5"/>
        <v>1584</v>
      </c>
      <c r="I58" s="305">
        <v>0.61199999999999999</v>
      </c>
      <c r="J58" s="306">
        <v>2</v>
      </c>
    </row>
    <row r="59" spans="2:10" s="142" customFormat="1" ht="18" customHeight="1">
      <c r="B59" s="165" t="s">
        <v>1797</v>
      </c>
      <c r="C59" s="165" t="s">
        <v>1788</v>
      </c>
      <c r="D59" s="165" t="s">
        <v>1789</v>
      </c>
      <c r="E59" s="165" t="s">
        <v>1795</v>
      </c>
      <c r="F59" s="304">
        <v>77184</v>
      </c>
      <c r="G59" s="304">
        <v>87217.919999999998</v>
      </c>
      <c r="H59" s="304">
        <f t="shared" si="5"/>
        <v>-10033.919999999998</v>
      </c>
      <c r="I59" s="305">
        <v>0.34399999999999997</v>
      </c>
      <c r="J59" s="306">
        <v>5</v>
      </c>
    </row>
    <row r="60" spans="2:10" s="142" customFormat="1" ht="18" customHeight="1">
      <c r="B60" s="165" t="s">
        <v>1797</v>
      </c>
      <c r="C60" s="165" t="s">
        <v>1788</v>
      </c>
      <c r="D60" s="165" t="s">
        <v>1789</v>
      </c>
      <c r="E60" s="165" t="s">
        <v>1795</v>
      </c>
      <c r="F60" s="304">
        <v>76219.199999999997</v>
      </c>
      <c r="G60" s="304">
        <v>60213.167999999998</v>
      </c>
      <c r="H60" s="304">
        <f t="shared" si="5"/>
        <v>16006.031999999999</v>
      </c>
      <c r="I60" s="305">
        <v>0.754</v>
      </c>
      <c r="J60" s="306">
        <v>1</v>
      </c>
    </row>
    <row r="61" spans="2:10" s="142" customFormat="1" ht="18" customHeight="1">
      <c r="B61" s="165" t="s">
        <v>1797</v>
      </c>
      <c r="C61" s="165" t="s">
        <v>1786</v>
      </c>
      <c r="D61" s="165" t="s">
        <v>1787</v>
      </c>
      <c r="E61" s="165" t="s">
        <v>1795</v>
      </c>
      <c r="F61" s="304">
        <v>79113.600000000006</v>
      </c>
      <c r="G61" s="304">
        <v>64873.152000000002</v>
      </c>
      <c r="H61" s="304">
        <f t="shared" si="5"/>
        <v>14240.448000000004</v>
      </c>
      <c r="I61" s="305">
        <v>0.435</v>
      </c>
      <c r="J61" s="306">
        <v>6</v>
      </c>
    </row>
    <row r="62" spans="2:10" s="142" customFormat="1" ht="18" customHeight="1">
      <c r="B62" s="165" t="s">
        <v>1797</v>
      </c>
      <c r="C62" s="165" t="s">
        <v>1788</v>
      </c>
      <c r="D62" s="165" t="s">
        <v>1792</v>
      </c>
      <c r="E62" s="165" t="s">
        <v>1794</v>
      </c>
      <c r="F62" s="304">
        <v>39600</v>
      </c>
      <c r="G62" s="304">
        <v>38016</v>
      </c>
      <c r="H62" s="304">
        <f t="shared" si="5"/>
        <v>1584</v>
      </c>
      <c r="I62" s="305">
        <v>0.56299999999999994</v>
      </c>
      <c r="J62" s="306">
        <v>8</v>
      </c>
    </row>
    <row r="63" spans="2:10" s="142" customFormat="1" ht="18" customHeight="1">
      <c r="B63" s="165" t="s">
        <v>1797</v>
      </c>
      <c r="C63" s="165" t="s">
        <v>1786</v>
      </c>
      <c r="D63" s="165" t="s">
        <v>1787</v>
      </c>
      <c r="E63" s="165" t="s">
        <v>1782</v>
      </c>
      <c r="F63" s="304">
        <v>71676</v>
      </c>
      <c r="G63" s="304">
        <v>70959.240000000005</v>
      </c>
      <c r="H63" s="304">
        <f t="shared" si="5"/>
        <v>716.75999999999476</v>
      </c>
      <c r="I63" s="305">
        <v>0.23400000000000001</v>
      </c>
      <c r="J63" s="306">
        <v>1</v>
      </c>
    </row>
    <row r="64" spans="2:10" s="142" customFormat="1" ht="18" customHeight="1">
      <c r="B64" s="165" t="s">
        <v>1797</v>
      </c>
      <c r="C64" s="165" t="s">
        <v>1786</v>
      </c>
      <c r="D64" s="165" t="s">
        <v>1790</v>
      </c>
      <c r="E64" s="165" t="s">
        <v>1795</v>
      </c>
      <c r="F64" s="304">
        <v>75254.399999999994</v>
      </c>
      <c r="G64" s="304">
        <v>58698.432000000001</v>
      </c>
      <c r="H64" s="304">
        <f t="shared" si="5"/>
        <v>16555.967999999993</v>
      </c>
      <c r="I64" s="305">
        <v>0.35599999999999998</v>
      </c>
      <c r="J64" s="306">
        <v>5</v>
      </c>
    </row>
    <row r="65" spans="2:10" s="142" customFormat="1" ht="18" customHeight="1">
      <c r="B65" s="165" t="s">
        <v>1797</v>
      </c>
      <c r="C65" s="165" t="s">
        <v>1788</v>
      </c>
      <c r="D65" s="165" t="s">
        <v>1789</v>
      </c>
      <c r="E65" s="165" t="s">
        <v>1794</v>
      </c>
      <c r="F65" s="304">
        <v>52140</v>
      </c>
      <c r="G65" s="304">
        <v>41190.6</v>
      </c>
      <c r="H65" s="304">
        <f t="shared" si="5"/>
        <v>10949.400000000001</v>
      </c>
      <c r="I65" s="305">
        <v>0.35599999999999998</v>
      </c>
      <c r="J65" s="306">
        <v>5</v>
      </c>
    </row>
    <row r="66" spans="2:10" s="142" customFormat="1" ht="18" customHeight="1">
      <c r="B66" s="165" t="s">
        <v>1797</v>
      </c>
      <c r="C66" s="165" t="s">
        <v>1788</v>
      </c>
      <c r="D66" s="165" t="s">
        <v>1792</v>
      </c>
      <c r="E66" s="165" t="s">
        <v>1794</v>
      </c>
      <c r="F66" s="304">
        <v>54120</v>
      </c>
      <c r="G66" s="304">
        <v>44378.400000000001</v>
      </c>
      <c r="H66" s="304">
        <f t="shared" si="5"/>
        <v>9741.5999999999985</v>
      </c>
      <c r="I66" s="305">
        <v>0.377</v>
      </c>
      <c r="J66" s="306">
        <v>8</v>
      </c>
    </row>
    <row r="67" spans="2:10" s="142" customFormat="1" ht="18" customHeight="1">
      <c r="B67" s="165" t="s">
        <v>1797</v>
      </c>
      <c r="C67" s="165" t="s">
        <v>1786</v>
      </c>
      <c r="D67" s="165" t="s">
        <v>1787</v>
      </c>
      <c r="E67" s="165" t="s">
        <v>1795</v>
      </c>
      <c r="F67" s="304">
        <v>57888</v>
      </c>
      <c r="G67" s="304">
        <v>55572.480000000003</v>
      </c>
      <c r="H67" s="304">
        <f t="shared" si="5"/>
        <v>2315.5199999999968</v>
      </c>
      <c r="I67" s="305">
        <v>0.245</v>
      </c>
      <c r="J67" s="306">
        <v>5</v>
      </c>
    </row>
    <row r="68" spans="2:10" s="142" customFormat="1" ht="18" customHeight="1">
      <c r="B68" s="165" t="s">
        <v>1797</v>
      </c>
      <c r="C68" s="165" t="s">
        <v>1786</v>
      </c>
      <c r="D68" s="165" t="s">
        <v>1787</v>
      </c>
      <c r="E68" s="165" t="s">
        <v>1795</v>
      </c>
      <c r="F68" s="304">
        <v>79113.600000000006</v>
      </c>
      <c r="G68" s="304">
        <v>64873.152000000002</v>
      </c>
      <c r="H68" s="304">
        <f t="shared" si="5"/>
        <v>14240.448000000004</v>
      </c>
      <c r="I68" s="305">
        <v>0.27600000000000002</v>
      </c>
      <c r="J68" s="306">
        <v>0</v>
      </c>
    </row>
    <row r="69" spans="2:10" s="142" customFormat="1" ht="18" customHeight="1">
      <c r="B69" s="165" t="s">
        <v>1797</v>
      </c>
      <c r="C69" s="165" t="s">
        <v>1788</v>
      </c>
      <c r="D69" s="165" t="s">
        <v>1789</v>
      </c>
      <c r="E69" s="165" t="s">
        <v>1794</v>
      </c>
      <c r="F69" s="304">
        <v>52140</v>
      </c>
      <c r="G69" s="304">
        <v>41190.6</v>
      </c>
      <c r="H69" s="304">
        <f t="shared" si="5"/>
        <v>10949.400000000001</v>
      </c>
      <c r="I69" s="305">
        <v>0.27600000000000002</v>
      </c>
      <c r="J69" s="306">
        <v>6</v>
      </c>
    </row>
    <row r="70" spans="2:10" s="142" customFormat="1" ht="18" customHeight="1">
      <c r="B70" s="165" t="s">
        <v>1797</v>
      </c>
      <c r="C70" s="165" t="s">
        <v>1786</v>
      </c>
      <c r="D70" s="165" t="s">
        <v>1790</v>
      </c>
      <c r="E70" s="165" t="s">
        <v>1795</v>
      </c>
      <c r="F70" s="304">
        <v>76219.199999999997</v>
      </c>
      <c r="G70" s="304">
        <v>60213.167999999998</v>
      </c>
      <c r="H70" s="304">
        <f t="shared" si="5"/>
        <v>16006.031999999999</v>
      </c>
      <c r="I70" s="305">
        <v>0.26500000000000001</v>
      </c>
      <c r="J70" s="306">
        <v>7</v>
      </c>
    </row>
    <row r="71" spans="2:10" s="142" customFormat="1" ht="18" customHeight="1">
      <c r="B71" s="165" t="s">
        <v>1797</v>
      </c>
      <c r="C71" s="165" t="s">
        <v>1786</v>
      </c>
      <c r="D71" s="165" t="s">
        <v>1787</v>
      </c>
      <c r="E71" s="165" t="s">
        <v>1794</v>
      </c>
      <c r="F71" s="304">
        <v>51480</v>
      </c>
      <c r="G71" s="304">
        <v>58172.4</v>
      </c>
      <c r="H71" s="304">
        <f t="shared" si="5"/>
        <v>-6692.4000000000015</v>
      </c>
      <c r="I71" s="307">
        <v>0.26500000000000001</v>
      </c>
      <c r="J71" s="306">
        <v>9</v>
      </c>
    </row>
    <row r="72" spans="2:10" s="142" customFormat="1" ht="18" customHeight="1">
      <c r="B72" s="165" t="s">
        <v>1797</v>
      </c>
      <c r="C72" s="165" t="s">
        <v>1788</v>
      </c>
      <c r="D72" s="165" t="s">
        <v>1789</v>
      </c>
      <c r="E72" s="165" t="s">
        <v>1795</v>
      </c>
      <c r="F72" s="304">
        <v>75254.399999999994</v>
      </c>
      <c r="G72" s="304">
        <v>58698.432000000001</v>
      </c>
      <c r="H72" s="304">
        <f t="shared" si="5"/>
        <v>16555.967999999993</v>
      </c>
      <c r="I72" s="305">
        <v>0.255</v>
      </c>
      <c r="J72" s="306">
        <v>9</v>
      </c>
    </row>
    <row r="73" spans="2:10" s="142" customFormat="1" ht="18" customHeight="1">
      <c r="B73" s="165" t="s">
        <v>1797</v>
      </c>
      <c r="C73" s="165" t="s">
        <v>1788</v>
      </c>
      <c r="D73" s="165" t="s">
        <v>1792</v>
      </c>
      <c r="E73" s="165" t="s">
        <v>1795</v>
      </c>
      <c r="F73" s="304">
        <v>79113.600000000006</v>
      </c>
      <c r="G73" s="304">
        <v>64873.152000000002</v>
      </c>
      <c r="H73" s="304">
        <f t="shared" si="5"/>
        <v>14240.448000000004</v>
      </c>
      <c r="I73" s="305">
        <v>0.255</v>
      </c>
      <c r="J73" s="306">
        <v>9</v>
      </c>
    </row>
    <row r="74" spans="2:10" s="142" customFormat="1" ht="18" customHeight="1">
      <c r="B74" s="165" t="s">
        <v>1797</v>
      </c>
      <c r="C74" s="165" t="s">
        <v>1788</v>
      </c>
      <c r="D74" s="165" t="s">
        <v>1792</v>
      </c>
      <c r="E74" s="165" t="s">
        <v>1794</v>
      </c>
      <c r="F74" s="304">
        <v>51480</v>
      </c>
      <c r="G74" s="304">
        <v>40154.400000000001</v>
      </c>
      <c r="H74" s="304">
        <f t="shared" si="5"/>
        <v>11325.599999999999</v>
      </c>
      <c r="I74" s="305">
        <v>0.255</v>
      </c>
      <c r="J74" s="306">
        <v>2</v>
      </c>
    </row>
    <row r="75" spans="2:10" s="142" customFormat="1" ht="18" customHeight="1">
      <c r="B75" s="165" t="s">
        <v>1797</v>
      </c>
      <c r="C75" s="165" t="s">
        <v>1788</v>
      </c>
      <c r="D75" s="165" t="s">
        <v>1789</v>
      </c>
      <c r="E75" s="165" t="s">
        <v>1795</v>
      </c>
      <c r="F75" s="304">
        <v>77184</v>
      </c>
      <c r="G75" s="304">
        <v>68693.759999999995</v>
      </c>
      <c r="H75" s="304">
        <f t="shared" si="5"/>
        <v>8490.2400000000052</v>
      </c>
      <c r="I75" s="305">
        <v>0.255</v>
      </c>
      <c r="J75" s="306">
        <v>5</v>
      </c>
    </row>
    <row r="76" spans="2:10" s="142" customFormat="1" ht="18" customHeight="1">
      <c r="B76" s="165" t="s">
        <v>1797</v>
      </c>
      <c r="C76" s="165" t="s">
        <v>1788</v>
      </c>
      <c r="D76" s="165" t="s">
        <v>1789</v>
      </c>
      <c r="E76" s="165" t="s">
        <v>1794</v>
      </c>
      <c r="F76" s="304">
        <v>52800</v>
      </c>
      <c r="G76" s="304">
        <v>59664</v>
      </c>
      <c r="H76" s="304">
        <f t="shared" ref="H76:H107" si="6">F76-G76</f>
        <v>-6864</v>
      </c>
      <c r="I76" s="305">
        <v>0.255</v>
      </c>
      <c r="J76" s="306">
        <v>8</v>
      </c>
    </row>
    <row r="77" spans="2:10" s="142" customFormat="1" ht="18" customHeight="1">
      <c r="B77" s="165" t="s">
        <v>1797</v>
      </c>
      <c r="C77" s="165" t="s">
        <v>1786</v>
      </c>
      <c r="D77" s="165" t="s">
        <v>1790</v>
      </c>
      <c r="E77" s="165" t="s">
        <v>1781</v>
      </c>
      <c r="F77" s="304">
        <v>296700</v>
      </c>
      <c r="G77" s="304">
        <v>216591</v>
      </c>
      <c r="H77" s="304">
        <f t="shared" si="6"/>
        <v>80109</v>
      </c>
      <c r="I77" s="305">
        <v>0.23300000000000001</v>
      </c>
      <c r="J77" s="306">
        <v>1</v>
      </c>
    </row>
    <row r="78" spans="2:10" s="142" customFormat="1" ht="18" customHeight="1">
      <c r="B78" s="165" t="s">
        <v>1797</v>
      </c>
      <c r="C78" s="165" t="s">
        <v>1786</v>
      </c>
      <c r="D78" s="165" t="s">
        <v>1790</v>
      </c>
      <c r="E78" s="165" t="s">
        <v>1794</v>
      </c>
      <c r="F78" s="304">
        <v>52800</v>
      </c>
      <c r="G78" s="304">
        <v>46992</v>
      </c>
      <c r="H78" s="304">
        <f t="shared" si="6"/>
        <v>5808</v>
      </c>
      <c r="I78" s="305">
        <v>0.187</v>
      </c>
      <c r="J78" s="306">
        <v>9</v>
      </c>
    </row>
    <row r="79" spans="2:10" s="142" customFormat="1" ht="18" customHeight="1">
      <c r="B79" s="165" t="s">
        <v>1797</v>
      </c>
      <c r="C79" s="165" t="s">
        <v>1786</v>
      </c>
      <c r="D79" s="165" t="s">
        <v>1787</v>
      </c>
      <c r="E79" s="165" t="s">
        <v>1795</v>
      </c>
      <c r="F79" s="304">
        <v>57888</v>
      </c>
      <c r="G79" s="304">
        <v>55572.480000000003</v>
      </c>
      <c r="H79" s="304">
        <f t="shared" si="6"/>
        <v>2315.5199999999968</v>
      </c>
      <c r="I79" s="305">
        <v>0.187</v>
      </c>
      <c r="J79" s="306">
        <v>3</v>
      </c>
    </row>
    <row r="80" spans="2:10" s="311" customFormat="1" ht="18" customHeight="1">
      <c r="B80" s="189"/>
      <c r="C80" s="189"/>
      <c r="D80" s="189"/>
      <c r="E80" s="189"/>
      <c r="F80" s="308"/>
      <c r="G80" s="308"/>
      <c r="H80" s="308"/>
      <c r="I80" s="309"/>
      <c r="J80" s="310"/>
    </row>
    <row r="81" spans="2:2" s="142" customFormat="1" ht="15.75"/>
    <row r="82" spans="2:2" s="142" customFormat="1" ht="15.75"/>
    <row r="83" spans="2:2" s="142" customFormat="1" ht="15.75"/>
    <row r="84" spans="2:2" s="142" customFormat="1" ht="15.75"/>
    <row r="85" spans="2:2" s="142" customFormat="1" ht="15.75"/>
    <row r="86" spans="2:2" s="142" customFormat="1" ht="15.75"/>
    <row r="87" spans="2:2" s="142" customFormat="1" ht="15.75"/>
    <row r="88" spans="2:2" s="142" customFormat="1" ht="15.75"/>
    <row r="89" spans="2:2" s="142" customFormat="1" ht="15.75"/>
    <row r="90" spans="2:2" s="142" customFormat="1" ht="15.75"/>
    <row r="91" spans="2:2" s="142" customFormat="1" ht="15.75"/>
    <row r="92" spans="2:2" s="142" customFormat="1" ht="15.75"/>
    <row r="93" spans="2:2" s="142" customFormat="1" ht="15.75"/>
    <row r="94" spans="2:2" s="142" customFormat="1" ht="15.75"/>
    <row r="95" spans="2:2" ht="15">
      <c r="B95" s="3"/>
    </row>
    <row r="96" spans="2:2" ht="15">
      <c r="B96" s="3"/>
    </row>
    <row r="97" spans="2:2" ht="15">
      <c r="B97" s="3"/>
    </row>
    <row r="98" spans="2:2" ht="15">
      <c r="B98" s="3"/>
    </row>
    <row r="99" spans="2:2" ht="15">
      <c r="B99" s="3"/>
    </row>
    <row r="100" spans="2:2" ht="15">
      <c r="B100" s="3"/>
    </row>
    <row r="101" spans="2:2" ht="15">
      <c r="B101" s="3"/>
    </row>
    <row r="102" spans="2:2" ht="15">
      <c r="B102" s="3"/>
    </row>
    <row r="103" spans="2:2" ht="15">
      <c r="B103" s="3"/>
    </row>
    <row r="104" spans="2:2" ht="15">
      <c r="B104" s="3"/>
    </row>
    <row r="105" spans="2:2" ht="15">
      <c r="B105" s="3"/>
    </row>
    <row r="106" spans="2:2" ht="15">
      <c r="B106" s="3"/>
    </row>
    <row r="107" spans="2:2" ht="15">
      <c r="B107" s="3"/>
    </row>
    <row r="108" spans="2:2" ht="15">
      <c r="B108" s="3"/>
    </row>
    <row r="109" spans="2:2" ht="15">
      <c r="B109" s="3"/>
    </row>
    <row r="110" spans="2:2" ht="15">
      <c r="B110" s="3"/>
    </row>
    <row r="111" spans="2:2" ht="15">
      <c r="B111" s="3"/>
    </row>
    <row r="112" spans="2:2" ht="15">
      <c r="B112" s="3"/>
    </row>
    <row r="113" spans="2:2" ht="15">
      <c r="B113" s="3"/>
    </row>
    <row r="114" spans="2:2" ht="15">
      <c r="B114" s="3"/>
    </row>
    <row r="115" spans="2:2" ht="15">
      <c r="B115" s="3"/>
    </row>
    <row r="116" spans="2:2" ht="15">
      <c r="B116" s="3"/>
    </row>
    <row r="117" spans="2:2" ht="15">
      <c r="B117" s="3"/>
    </row>
    <row r="118" spans="2:2" ht="15">
      <c r="B118" s="3"/>
    </row>
    <row r="119" spans="2:2" ht="15">
      <c r="B119" s="3"/>
    </row>
    <row r="120" spans="2:2" ht="15">
      <c r="B120" s="3"/>
    </row>
    <row r="121" spans="2:2" ht="15">
      <c r="B121" s="3"/>
    </row>
    <row r="122" spans="2:2" ht="15">
      <c r="B122" s="3"/>
    </row>
    <row r="123" spans="2:2" ht="15">
      <c r="B123" s="3"/>
    </row>
    <row r="124" spans="2:2" ht="15">
      <c r="B124" s="3"/>
    </row>
    <row r="125" spans="2:2" ht="15">
      <c r="B125" s="3"/>
    </row>
    <row r="126" spans="2:2" ht="15">
      <c r="B126" s="3"/>
    </row>
    <row r="127" spans="2:2" ht="15">
      <c r="B127" s="3"/>
    </row>
    <row r="128" spans="2:2" ht="15">
      <c r="B128" s="3"/>
    </row>
    <row r="129" spans="2:2" ht="15">
      <c r="B129" s="3"/>
    </row>
    <row r="130" spans="2:2" ht="15">
      <c r="B130" s="3"/>
    </row>
    <row r="131" spans="2:2" ht="15">
      <c r="B131" s="3"/>
    </row>
    <row r="132" spans="2:2" ht="15">
      <c r="B132" s="3"/>
    </row>
    <row r="133" spans="2:2" ht="15">
      <c r="B133" s="3"/>
    </row>
    <row r="134" spans="2:2" ht="15">
      <c r="B134" s="3"/>
    </row>
    <row r="135" spans="2:2" ht="15">
      <c r="B135" s="3"/>
    </row>
    <row r="136" spans="2:2" ht="15">
      <c r="B136" s="3"/>
    </row>
    <row r="137" spans="2:2" ht="15">
      <c r="B137" s="3"/>
    </row>
    <row r="138" spans="2:2" ht="15">
      <c r="B138" s="3"/>
    </row>
    <row r="139" spans="2:2" ht="15">
      <c r="B139" s="3"/>
    </row>
    <row r="140" spans="2:2" ht="15">
      <c r="B140" s="3"/>
    </row>
    <row r="141" spans="2:2" ht="15">
      <c r="B141" s="3"/>
    </row>
    <row r="142" spans="2:2" ht="15">
      <c r="B142" s="3"/>
    </row>
    <row r="143" spans="2:2" ht="15">
      <c r="B143" s="3"/>
    </row>
    <row r="144" spans="2:2" ht="15">
      <c r="B144" s="3"/>
    </row>
    <row r="145" spans="2:2" ht="15">
      <c r="B145" s="3"/>
    </row>
    <row r="146" spans="2:2" ht="15">
      <c r="B146" s="3"/>
    </row>
    <row r="147" spans="2:2" ht="15">
      <c r="B147" s="3"/>
    </row>
    <row r="148" spans="2:2" ht="15">
      <c r="B148" s="3"/>
    </row>
    <row r="149" spans="2:2" ht="15">
      <c r="B149" s="3"/>
    </row>
    <row r="150" spans="2:2" ht="15">
      <c r="B150" s="3"/>
    </row>
    <row r="151" spans="2:2" ht="15">
      <c r="B151" s="3"/>
    </row>
    <row r="152" spans="2:2" ht="15">
      <c r="B152" s="3"/>
    </row>
    <row r="153" spans="2:2" ht="15">
      <c r="B153" s="3"/>
    </row>
    <row r="154" spans="2:2" ht="15">
      <c r="B154" s="3"/>
    </row>
    <row r="155" spans="2:2" ht="15">
      <c r="B155" s="3"/>
    </row>
    <row r="156" spans="2:2" ht="15">
      <c r="B156" s="3"/>
    </row>
    <row r="157" spans="2:2" ht="15">
      <c r="B157" s="3"/>
    </row>
    <row r="158" spans="2:2" ht="15">
      <c r="B158" s="3"/>
    </row>
    <row r="159" spans="2:2" ht="15">
      <c r="B159" s="3"/>
    </row>
    <row r="160" spans="2:2" ht="15">
      <c r="B160" s="3"/>
    </row>
    <row r="161" spans="2:2" ht="15">
      <c r="B161" s="3"/>
    </row>
    <row r="162" spans="2:2" ht="15">
      <c r="B162" s="3"/>
    </row>
    <row r="163" spans="2:2" ht="15">
      <c r="B163" s="3"/>
    </row>
    <row r="164" spans="2:2" ht="15">
      <c r="B164" s="3"/>
    </row>
    <row r="165" spans="2:2" ht="15">
      <c r="B165" s="3"/>
    </row>
    <row r="166" spans="2:2" ht="15">
      <c r="B166" s="3"/>
    </row>
    <row r="167" spans="2:2" ht="15">
      <c r="B167" s="3"/>
    </row>
    <row r="168" spans="2:2" ht="15">
      <c r="B168" s="3"/>
    </row>
    <row r="169" spans="2:2" ht="15">
      <c r="B169" s="3"/>
    </row>
    <row r="170" spans="2:2" ht="15">
      <c r="B170" s="3"/>
    </row>
    <row r="171" spans="2:2" ht="15">
      <c r="B171" s="3"/>
    </row>
    <row r="172" spans="2:2" ht="15">
      <c r="B172" s="3"/>
    </row>
    <row r="173" spans="2:2" ht="15">
      <c r="B173" s="3"/>
    </row>
    <row r="174" spans="2:2" ht="15">
      <c r="B174" s="3"/>
    </row>
    <row r="175" spans="2:2" ht="15">
      <c r="B175" s="3"/>
    </row>
    <row r="176" spans="2:2" ht="15">
      <c r="B176" s="3"/>
    </row>
    <row r="177" spans="2:2" ht="15">
      <c r="B177" s="3"/>
    </row>
    <row r="178" spans="2:2" ht="15">
      <c r="B178" s="3"/>
    </row>
    <row r="179" spans="2:2" ht="15">
      <c r="B179" s="3"/>
    </row>
    <row r="180" spans="2:2" ht="15">
      <c r="B180" s="3"/>
    </row>
    <row r="181" spans="2:2" ht="15">
      <c r="B181" s="3"/>
    </row>
    <row r="182" spans="2:2" ht="15">
      <c r="B182" s="3"/>
    </row>
    <row r="183" spans="2:2" ht="15">
      <c r="B183" s="3"/>
    </row>
    <row r="184" spans="2:2" ht="15">
      <c r="B184" s="3"/>
    </row>
    <row r="185" spans="2:2" ht="15">
      <c r="B185" s="3"/>
    </row>
    <row r="186" spans="2:2" ht="15">
      <c r="B186" s="3"/>
    </row>
    <row r="187" spans="2:2" ht="15">
      <c r="B187" s="3"/>
    </row>
    <row r="188" spans="2:2" ht="15">
      <c r="B188" s="3"/>
    </row>
    <row r="189" spans="2:2" ht="15">
      <c r="B189" s="3"/>
    </row>
    <row r="190" spans="2:2" ht="15">
      <c r="B190" s="3"/>
    </row>
    <row r="191" spans="2:2" ht="15">
      <c r="B191" s="3"/>
    </row>
    <row r="192" spans="2:2" ht="15">
      <c r="B192" s="3"/>
    </row>
    <row r="193" spans="2:2" ht="15">
      <c r="B193" s="3"/>
    </row>
    <row r="194" spans="2:2" ht="15">
      <c r="B194" s="3"/>
    </row>
    <row r="195" spans="2:2" ht="15">
      <c r="B195" s="3"/>
    </row>
    <row r="196" spans="2:2" ht="15">
      <c r="B196" s="3"/>
    </row>
    <row r="197" spans="2:2" ht="15">
      <c r="B197" s="3"/>
    </row>
    <row r="198" spans="2:2" ht="15">
      <c r="B198" s="3"/>
    </row>
    <row r="199" spans="2:2" ht="15">
      <c r="B199" s="3"/>
    </row>
    <row r="200" spans="2:2" ht="15">
      <c r="B200" s="3"/>
    </row>
    <row r="201" spans="2:2" ht="15">
      <c r="B201" s="3"/>
    </row>
    <row r="202" spans="2:2" ht="15">
      <c r="B202" s="3"/>
    </row>
    <row r="203" spans="2:2" ht="15">
      <c r="B203" s="3"/>
    </row>
    <row r="204" spans="2:2" ht="15">
      <c r="B204" s="3"/>
    </row>
    <row r="205" spans="2:2" ht="15">
      <c r="B205" s="3"/>
    </row>
    <row r="206" spans="2:2" ht="15">
      <c r="B206" s="3"/>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dimension ref="A1:H21"/>
  <sheetViews>
    <sheetView showGridLines="0" workbookViewId="0">
      <selection activeCell="F4" sqref="F4"/>
    </sheetView>
  </sheetViews>
  <sheetFormatPr defaultRowHeight="15.75"/>
  <cols>
    <col min="1" max="1" width="9.140625" style="142"/>
    <col min="2" max="2" width="15.140625" style="142" customWidth="1"/>
    <col min="3" max="4" width="15" style="142" customWidth="1"/>
    <col min="5" max="5" width="5.140625" style="142" customWidth="1"/>
    <col min="6" max="6" width="20.28515625" style="142" customWidth="1"/>
    <col min="7" max="7" width="15" style="142" customWidth="1"/>
    <col min="8" max="8" width="11.140625" style="142" customWidth="1"/>
    <col min="9" max="16384" width="9.140625" style="142"/>
  </cols>
  <sheetData>
    <row r="1" spans="1:8" ht="30">
      <c r="A1" s="113" t="s">
        <v>1808</v>
      </c>
      <c r="B1" s="114"/>
      <c r="C1" s="3"/>
      <c r="D1" s="3"/>
      <c r="E1" s="637" t="s">
        <v>2056</v>
      </c>
      <c r="F1" s="3"/>
    </row>
    <row r="3" spans="1:8" ht="32.25" thickBot="1">
      <c r="B3" s="280" t="s">
        <v>177</v>
      </c>
      <c r="C3" s="255" t="s">
        <v>1565</v>
      </c>
      <c r="D3" s="255" t="s">
        <v>596</v>
      </c>
    </row>
    <row r="4" spans="1:8">
      <c r="B4" s="142" t="s">
        <v>1828</v>
      </c>
      <c r="C4" s="243">
        <v>75</v>
      </c>
      <c r="D4" s="243" t="str">
        <f>LOOKUP(C4,{0,60,63,67,70,73,77,80,83,87,90,93,97},{"F","D-","D","D+","C-","C","C+","B-","B","B+","A-","A","A+"})</f>
        <v>C</v>
      </c>
      <c r="F4" s="176" t="s">
        <v>1818</v>
      </c>
      <c r="G4" s="287">
        <f>PERCENTILE($C$4:$C$21,1)</f>
        <v>100</v>
      </c>
    </row>
    <row r="5" spans="1:8">
      <c r="B5" s="142" t="s">
        <v>1573</v>
      </c>
      <c r="C5" s="243">
        <v>75</v>
      </c>
      <c r="D5" s="243" t="str">
        <f>LOOKUP(C5,{0,60,63,67,70,73,77,80,83,87,90,93,97},{"F","D-","D","D+","C-","C","C+","B-","B","B+","A-","A","A+"})</f>
        <v>C</v>
      </c>
      <c r="F5" s="176" t="s">
        <v>1817</v>
      </c>
      <c r="G5" s="287">
        <f>PERCENTILE($C$4:$C$21,0.9)</f>
        <v>96.6</v>
      </c>
      <c r="H5" s="142" t="s">
        <v>1819</v>
      </c>
    </row>
    <row r="6" spans="1:8">
      <c r="B6" s="142" t="s">
        <v>1574</v>
      </c>
      <c r="C6" s="243">
        <v>62</v>
      </c>
      <c r="D6" s="243" t="str">
        <f>LOOKUP(C6,{0,60,63,67,70,73,77,80,83,87,90,93,97},{"F","D-","D","D+","C-","C","C+","B-","B","B+","A-","A","A+"})</f>
        <v>D-</v>
      </c>
      <c r="F6" s="176" t="s">
        <v>1816</v>
      </c>
      <c r="G6" s="287">
        <f>PERCENTILE($C$4:$C$21,0.8)</f>
        <v>94.2</v>
      </c>
      <c r="H6" s="176" t="s">
        <v>1820</v>
      </c>
    </row>
    <row r="7" spans="1:8">
      <c r="B7" s="142" t="s">
        <v>1835</v>
      </c>
      <c r="C7" s="243">
        <v>73</v>
      </c>
      <c r="D7" s="243" t="str">
        <f>LOOKUP(C7,{0,60,63,67,70,73,77,80,83,87,90,93,97},{"F","D-","D","D+","C-","C","C+","B-","B","B+","A-","A","A+"})</f>
        <v>C</v>
      </c>
      <c r="F7" s="176" t="s">
        <v>1815</v>
      </c>
      <c r="G7" s="287">
        <f>PERCENTILE($C$4:$C$21,0.7)</f>
        <v>91.8</v>
      </c>
      <c r="H7" s="176" t="s">
        <v>1821</v>
      </c>
    </row>
    <row r="8" spans="1:8">
      <c r="B8" s="142" t="s">
        <v>1571</v>
      </c>
      <c r="C8" s="243">
        <v>86</v>
      </c>
      <c r="D8" s="243" t="str">
        <f>LOOKUP(C8,{0,60,63,67,70,73,77,80,83,87,90,93,97},{"F","D-","D","D+","C-","C","C+","B-","B","B+","A-","A","A+"})</f>
        <v>B</v>
      </c>
      <c r="F8" s="176" t="s">
        <v>1814</v>
      </c>
      <c r="G8" s="287">
        <f>PERCENTILE($C$4:$C$21,0.6)</f>
        <v>88.4</v>
      </c>
      <c r="H8" s="176" t="s">
        <v>1822</v>
      </c>
    </row>
    <row r="9" spans="1:8">
      <c r="B9" s="142" t="s">
        <v>1829</v>
      </c>
      <c r="C9" s="243">
        <v>58</v>
      </c>
      <c r="D9" s="243" t="str">
        <f>LOOKUP(C9,{0,60,63,67,70,73,77,80,83,87,90,93,97},{"F","D-","D","D+","C-","C","C+","B-","B","B+","A-","A","A+"})</f>
        <v>F</v>
      </c>
      <c r="F9" s="176" t="s">
        <v>1813</v>
      </c>
      <c r="G9" s="287">
        <f>PERCENTILE($C$4:$C$21,0.5)</f>
        <v>85</v>
      </c>
      <c r="H9" s="176" t="s">
        <v>1823</v>
      </c>
    </row>
    <row r="10" spans="1:8">
      <c r="B10" s="142" t="s">
        <v>1568</v>
      </c>
      <c r="C10" s="243">
        <v>95</v>
      </c>
      <c r="D10" s="243" t="str">
        <f>LOOKUP(C10,{0,60,63,67,70,73,77,80,83,87,90,93,97},{"F","D-","D","D+","C-","C","C+","B-","B","B+","A-","A","A+"})</f>
        <v>A</v>
      </c>
      <c r="F10" s="176" t="s">
        <v>1812</v>
      </c>
      <c r="G10" s="287">
        <f>PERCENTILE($C$4:$C$21,0.4)</f>
        <v>75</v>
      </c>
      <c r="H10" s="176" t="s">
        <v>1824</v>
      </c>
    </row>
    <row r="11" spans="1:8">
      <c r="B11" s="142" t="s">
        <v>1569</v>
      </c>
      <c r="C11" s="243">
        <v>93</v>
      </c>
      <c r="D11" s="243" t="str">
        <f>LOOKUP(C11,{0,60,63,67,70,73,77,80,83,87,90,93,97},{"F","D-","D","D+","C-","C","C+","B-","B","B+","A-","A","A+"})</f>
        <v>A</v>
      </c>
      <c r="F11" s="176" t="s">
        <v>1811</v>
      </c>
      <c r="G11" s="287">
        <f>PERCENTILE($C$4:$C$21,0.3)</f>
        <v>73.2</v>
      </c>
      <c r="H11" s="176" t="s">
        <v>1825</v>
      </c>
    </row>
    <row r="12" spans="1:8">
      <c r="B12" s="142" t="s">
        <v>1796</v>
      </c>
      <c r="C12" s="243">
        <v>96</v>
      </c>
      <c r="D12" s="243" t="str">
        <f>LOOKUP(C12,{0,60,63,67,70,73,77,80,83,87,90,93,97},{"F","D-","D","D+","C-","C","C+","B-","B","B+","A-","A","A+"})</f>
        <v>A</v>
      </c>
      <c r="F12" s="142" t="s">
        <v>1810</v>
      </c>
      <c r="G12" s="287">
        <f>PERCENTILE($C$4:$C$21,0.2)</f>
        <v>60.8</v>
      </c>
      <c r="H12" s="176" t="s">
        <v>1826</v>
      </c>
    </row>
    <row r="13" spans="1:8">
      <c r="B13" s="142" t="s">
        <v>1566</v>
      </c>
      <c r="C13" s="243">
        <v>100</v>
      </c>
      <c r="D13" s="243" t="str">
        <f>LOOKUP(C13,{0,60,63,67,70,73,77,80,83,87,90,93,97},{"F","D-","D","D+","C-","C","C+","B-","B","B+","A-","A","A+"})</f>
        <v>A+</v>
      </c>
      <c r="F13" s="142" t="s">
        <v>1809</v>
      </c>
      <c r="G13" s="287">
        <f>PERCENTILE($C$4:$C$21,0.1)</f>
        <v>58.7</v>
      </c>
      <c r="H13" s="176" t="s">
        <v>1827</v>
      </c>
    </row>
    <row r="14" spans="1:8">
      <c r="B14" s="176" t="s">
        <v>1833</v>
      </c>
      <c r="C14" s="243">
        <v>84</v>
      </c>
      <c r="D14" s="243" t="str">
        <f>LOOKUP(C14,{0,60,63,67,70,73,77,80,83,87,90,93,97},{"F","D-","D","D+","C-","C","C+","B-","B","B+","A-","A","A+"})</f>
        <v>B</v>
      </c>
    </row>
    <row r="15" spans="1:8">
      <c r="B15" s="142" t="s">
        <v>1831</v>
      </c>
      <c r="C15" s="243">
        <v>60</v>
      </c>
      <c r="D15" s="243" t="str">
        <f>LOOKUP(C15,{0,60,63,67,70,73,77,80,83,87,90,93,97},{"F","D-","D","D+","C-","C","C+","B-","B","B+","A-","A","A+"})</f>
        <v>D-</v>
      </c>
    </row>
    <row r="16" spans="1:8">
      <c r="B16" s="142" t="s">
        <v>1830</v>
      </c>
      <c r="C16" s="243">
        <v>59</v>
      </c>
      <c r="D16" s="243" t="str">
        <f>LOOKUP(C16,{0,60,63,67,70,73,77,80,83,87,90,93,97},{"F","D-","D","D+","C-","C","C+","B-","B","B+","A-","A","A+"})</f>
        <v>F</v>
      </c>
    </row>
    <row r="17" spans="2:4">
      <c r="B17" s="142" t="s">
        <v>1567</v>
      </c>
      <c r="C17" s="243">
        <v>98</v>
      </c>
      <c r="D17" s="243" t="str">
        <f>LOOKUP(C17,{0,60,63,67,70,73,77,80,83,87,90,93,97},{"F","D-","D","D+","C-","C","C+","B-","B","B+","A-","A","A+"})</f>
        <v>A+</v>
      </c>
    </row>
    <row r="18" spans="2:4">
      <c r="B18" s="142" t="s">
        <v>1834</v>
      </c>
      <c r="C18" s="243">
        <v>92</v>
      </c>
      <c r="D18" s="243" t="str">
        <f>LOOKUP(C18,{0,60,63,67,70,73,77,80,83,87,90,93,97},{"F","D-","D","D+","C-","C","C+","B-","B","B+","A-","A","A+"})</f>
        <v>A-</v>
      </c>
    </row>
    <row r="19" spans="2:4">
      <c r="B19" s="142" t="s">
        <v>1570</v>
      </c>
      <c r="C19" s="243">
        <v>90</v>
      </c>
      <c r="D19" s="243" t="str">
        <f>LOOKUP(C19,{0,60,63,67,70,73,77,80,83,87,90,93,97},{"F","D-","D","D+","C-","C","C+","B-","B","B+","A-","A","A+"})</f>
        <v>A-</v>
      </c>
    </row>
    <row r="20" spans="2:4">
      <c r="B20" s="142" t="s">
        <v>1832</v>
      </c>
      <c r="C20" s="243">
        <v>88</v>
      </c>
      <c r="D20" s="243" t="str">
        <f>LOOKUP(C20,{0,60,63,67,70,73,77,80,83,87,90,93,97},{"F","D-","D","D+","C-","C","C+","B-","B","B+","A-","A","A+"})</f>
        <v>B+</v>
      </c>
    </row>
    <row r="21" spans="2:4">
      <c r="B21" s="142" t="s">
        <v>1836</v>
      </c>
      <c r="C21" s="243">
        <v>57</v>
      </c>
      <c r="D21" s="243" t="str">
        <f>LOOKUP(C21,{0,60,63,67,70,73,77,80,83,87,90,93,97},{"F","D-","D","D+","C-","C","C+","B-","B","B+","A-","A","A+"})</f>
        <v>F</v>
      </c>
    </row>
  </sheetData>
  <sortState ref="B4:D21">
    <sortCondition ref="B4"/>
  </sortState>
  <pageMargins left="0.7" right="0.7" top="0.75" bottom="0.75" header="0.3" footer="0.3"/>
</worksheet>
</file>

<file path=xl/worksheets/sheet56.xml><?xml version="1.0" encoding="utf-8"?>
<worksheet xmlns="http://schemas.openxmlformats.org/spreadsheetml/2006/main" xmlns:r="http://schemas.openxmlformats.org/officeDocument/2006/relationships">
  <dimension ref="A1:I21"/>
  <sheetViews>
    <sheetView showGridLines="0" workbookViewId="0">
      <selection activeCell="F4" sqref="F4"/>
    </sheetView>
  </sheetViews>
  <sheetFormatPr defaultRowHeight="15.75"/>
  <cols>
    <col min="1" max="1" width="9.140625" style="142"/>
    <col min="2" max="2" width="15.140625" style="142" customWidth="1"/>
    <col min="3" max="5" width="15" style="142" customWidth="1"/>
    <col min="6" max="6" width="6.7109375" style="142" customWidth="1"/>
    <col min="7" max="7" width="20.28515625" style="142" customWidth="1"/>
    <col min="8" max="8" width="15" style="142" customWidth="1"/>
    <col min="9" max="9" width="11.140625" style="142" customWidth="1"/>
    <col min="10" max="16384" width="9.140625" style="142"/>
  </cols>
  <sheetData>
    <row r="1" spans="1:9" ht="30">
      <c r="A1" s="113" t="s">
        <v>1808</v>
      </c>
      <c r="B1" s="114"/>
      <c r="C1" s="3"/>
      <c r="D1" s="3"/>
      <c r="E1" s="637" t="s">
        <v>2056</v>
      </c>
      <c r="F1" s="3"/>
      <c r="G1" s="3"/>
    </row>
    <row r="3" spans="1:9" ht="32.25" thickBot="1">
      <c r="B3" s="280" t="s">
        <v>177</v>
      </c>
      <c r="C3" s="255" t="s">
        <v>1565</v>
      </c>
      <c r="D3" s="255" t="s">
        <v>596</v>
      </c>
      <c r="E3" s="255" t="s">
        <v>1837</v>
      </c>
      <c r="F3" s="285"/>
    </row>
    <row r="4" spans="1:9">
      <c r="B4" s="142" t="s">
        <v>1828</v>
      </c>
      <c r="C4" s="243">
        <v>75</v>
      </c>
      <c r="D4" s="243" t="str">
        <f>LOOKUP(C4,{0,60,63,67,70,73,77,80,83,87,90,93,97},{"F","D-","D","D+","C-","C","C+","B-","B","B+","A-","A","A+"})</f>
        <v>C</v>
      </c>
      <c r="E4" s="286">
        <f t="shared" ref="E4:E21" si="0">PERCENTRANK($C$4:$C$21,C4)</f>
        <v>0.35199999999999998</v>
      </c>
      <c r="F4" s="286"/>
      <c r="G4" s="176" t="s">
        <v>1818</v>
      </c>
      <c r="H4" s="287">
        <f>PERCENTILE($C$4:$C$21,1)</f>
        <v>100</v>
      </c>
    </row>
    <row r="5" spans="1:9">
      <c r="B5" s="142" t="s">
        <v>1573</v>
      </c>
      <c r="C5" s="243">
        <v>75</v>
      </c>
      <c r="D5" s="243" t="str">
        <f>LOOKUP(C5,{0,60,63,67,70,73,77,80,83,87,90,93,97},{"F","D-","D","D+","C-","C","C+","B-","B","B+","A-","A","A+"})</f>
        <v>C</v>
      </c>
      <c r="E5" s="286">
        <f t="shared" si="0"/>
        <v>0.35199999999999998</v>
      </c>
      <c r="F5" s="286"/>
      <c r="G5" s="176" t="s">
        <v>1817</v>
      </c>
      <c r="H5" s="287">
        <f>PERCENTILE($C$4:$C$21,0.9)</f>
        <v>96.6</v>
      </c>
      <c r="I5" s="142" t="s">
        <v>1819</v>
      </c>
    </row>
    <row r="6" spans="1:9">
      <c r="B6" s="142" t="s">
        <v>1574</v>
      </c>
      <c r="C6" s="243">
        <v>62</v>
      </c>
      <c r="D6" s="243" t="str">
        <f>LOOKUP(C6,{0,60,63,67,70,73,77,80,83,87,90,93,97},{"F","D-","D","D+","C-","C","C+","B-","B","B+","A-","A","A+"})</f>
        <v>D-</v>
      </c>
      <c r="E6" s="286">
        <f t="shared" si="0"/>
        <v>0.23499999999999999</v>
      </c>
      <c r="F6" s="286"/>
      <c r="G6" s="176" t="s">
        <v>1816</v>
      </c>
      <c r="H6" s="287">
        <f>PERCENTILE($C$4:$C$21,0.8)</f>
        <v>94.2</v>
      </c>
      <c r="I6" s="176" t="s">
        <v>1820</v>
      </c>
    </row>
    <row r="7" spans="1:9">
      <c r="B7" s="142" t="s">
        <v>1835</v>
      </c>
      <c r="C7" s="243">
        <v>73</v>
      </c>
      <c r="D7" s="243" t="str">
        <f>LOOKUP(C7,{0,60,63,67,70,73,77,80,83,87,90,93,97},{"F","D-","D","D+","C-","C","C+","B-","B","B+","A-","A","A+"})</f>
        <v>C</v>
      </c>
      <c r="E7" s="286">
        <f t="shared" si="0"/>
        <v>0.29399999999999998</v>
      </c>
      <c r="F7" s="286"/>
      <c r="G7" s="176" t="s">
        <v>1815</v>
      </c>
      <c r="H7" s="287">
        <f>PERCENTILE($C$4:$C$21,0.7)</f>
        <v>91.8</v>
      </c>
      <c r="I7" s="176" t="s">
        <v>1821</v>
      </c>
    </row>
    <row r="8" spans="1:9">
      <c r="B8" s="142" t="s">
        <v>1571</v>
      </c>
      <c r="C8" s="243">
        <v>86</v>
      </c>
      <c r="D8" s="243" t="str">
        <f>LOOKUP(C8,{0,60,63,67,70,73,77,80,83,87,90,93,97},{"F","D-","D","D+","C-","C","C+","B-","B","B+","A-","A","A+"})</f>
        <v>B</v>
      </c>
      <c r="E8" s="286">
        <f t="shared" si="0"/>
        <v>0.52900000000000003</v>
      </c>
      <c r="F8" s="286"/>
      <c r="G8" s="176" t="s">
        <v>1814</v>
      </c>
      <c r="H8" s="287">
        <f>PERCENTILE($C$4:$C$21,0.6)</f>
        <v>88.4</v>
      </c>
      <c r="I8" s="176" t="s">
        <v>1822</v>
      </c>
    </row>
    <row r="9" spans="1:9">
      <c r="B9" s="142" t="s">
        <v>1829</v>
      </c>
      <c r="C9" s="243">
        <v>58</v>
      </c>
      <c r="D9" s="243" t="str">
        <f>LOOKUP(C9,{0,60,63,67,70,73,77,80,83,87,90,93,97},{"F","D-","D","D+","C-","C","C+","B-","B","B+","A-","A","A+"})</f>
        <v>F</v>
      </c>
      <c r="E9" s="286">
        <f t="shared" si="0"/>
        <v>5.8000000000000003E-2</v>
      </c>
      <c r="F9" s="286"/>
      <c r="G9" s="176" t="s">
        <v>1813</v>
      </c>
      <c r="H9" s="287">
        <f>PERCENTILE($C$4:$C$21,0.5)</f>
        <v>85</v>
      </c>
      <c r="I9" s="176" t="s">
        <v>1823</v>
      </c>
    </row>
    <row r="10" spans="1:9">
      <c r="B10" s="142" t="s">
        <v>1568</v>
      </c>
      <c r="C10" s="243">
        <v>95</v>
      </c>
      <c r="D10" s="243" t="str">
        <f>LOOKUP(C10,{0,60,63,67,70,73,77,80,83,87,90,93,97},{"F","D-","D","D+","C-","C","C+","B-","B","B+","A-","A","A+"})</f>
        <v>A</v>
      </c>
      <c r="E10" s="286">
        <f t="shared" si="0"/>
        <v>0.82299999999999995</v>
      </c>
      <c r="F10" s="286"/>
      <c r="G10" s="176" t="s">
        <v>1812</v>
      </c>
      <c r="H10" s="287">
        <f>PERCENTILE($C$4:$C$21,0.4)</f>
        <v>75</v>
      </c>
      <c r="I10" s="176" t="s">
        <v>1824</v>
      </c>
    </row>
    <row r="11" spans="1:9">
      <c r="B11" s="142" t="s">
        <v>1569</v>
      </c>
      <c r="C11" s="243">
        <v>93</v>
      </c>
      <c r="D11" s="243" t="str">
        <f>LOOKUP(C11,{0,60,63,67,70,73,77,80,83,87,90,93,97},{"F","D-","D","D+","C-","C","C+","B-","B","B+","A-","A","A+"})</f>
        <v>A</v>
      </c>
      <c r="E11" s="286">
        <f t="shared" si="0"/>
        <v>0.76400000000000001</v>
      </c>
      <c r="F11" s="286"/>
      <c r="G11" s="176" t="s">
        <v>1811</v>
      </c>
      <c r="H11" s="287">
        <f>PERCENTILE($C$4:$C$21,0.3)</f>
        <v>73.2</v>
      </c>
      <c r="I11" s="176" t="s">
        <v>1825</v>
      </c>
    </row>
    <row r="12" spans="1:9">
      <c r="B12" s="142" t="s">
        <v>1796</v>
      </c>
      <c r="C12" s="243">
        <v>96</v>
      </c>
      <c r="D12" s="243" t="str">
        <f>LOOKUP(C12,{0,60,63,67,70,73,77,80,83,87,90,93,97},{"F","D-","D","D+","C-","C","C+","B-","B","B+","A-","A","A+"})</f>
        <v>A</v>
      </c>
      <c r="E12" s="286">
        <f t="shared" si="0"/>
        <v>0.88200000000000001</v>
      </c>
      <c r="F12" s="286"/>
      <c r="G12" s="142" t="s">
        <v>1810</v>
      </c>
      <c r="H12" s="287">
        <f>PERCENTILE($C$4:$C$21,0.2)</f>
        <v>60.8</v>
      </c>
      <c r="I12" s="176" t="s">
        <v>1826</v>
      </c>
    </row>
    <row r="13" spans="1:9">
      <c r="B13" s="142" t="s">
        <v>1566</v>
      </c>
      <c r="C13" s="243">
        <v>100</v>
      </c>
      <c r="D13" s="243" t="str">
        <f>LOOKUP(C13,{0,60,63,67,70,73,77,80,83,87,90,93,97},{"F","D-","D","D+","C-","C","C+","B-","B","B+","A-","A","A+"})</f>
        <v>A+</v>
      </c>
      <c r="E13" s="286">
        <f t="shared" si="0"/>
        <v>1</v>
      </c>
      <c r="F13" s="286"/>
      <c r="G13" s="142" t="s">
        <v>1809</v>
      </c>
      <c r="H13" s="287">
        <f>PERCENTILE($C$4:$C$21,0.1)</f>
        <v>58.7</v>
      </c>
      <c r="I13" s="176" t="s">
        <v>1827</v>
      </c>
    </row>
    <row r="14" spans="1:9">
      <c r="B14" s="176" t="s">
        <v>1833</v>
      </c>
      <c r="C14" s="243">
        <v>84</v>
      </c>
      <c r="D14" s="243" t="str">
        <f>LOOKUP(C14,{0,60,63,67,70,73,77,80,83,87,90,93,97},{"F","D-","D","D+","C-","C","C+","B-","B","B+","A-","A","A+"})</f>
        <v>B</v>
      </c>
      <c r="E14" s="286">
        <f t="shared" si="0"/>
        <v>0.47</v>
      </c>
      <c r="F14" s="286"/>
    </row>
    <row r="15" spans="1:9">
      <c r="B15" s="142" t="s">
        <v>1831</v>
      </c>
      <c r="C15" s="243">
        <v>60</v>
      </c>
      <c r="D15" s="243" t="str">
        <f>LOOKUP(C15,{0,60,63,67,70,73,77,80,83,87,90,93,97},{"F","D-","D","D+","C-","C","C+","B-","B","B+","A-","A","A+"})</f>
        <v>D-</v>
      </c>
      <c r="E15" s="286">
        <f t="shared" si="0"/>
        <v>0.17599999999999999</v>
      </c>
      <c r="F15" s="286"/>
    </row>
    <row r="16" spans="1:9">
      <c r="B16" s="142" t="s">
        <v>1830</v>
      </c>
      <c r="C16" s="243">
        <v>59</v>
      </c>
      <c r="D16" s="243" t="str">
        <f>LOOKUP(C16,{0,60,63,67,70,73,77,80,83,87,90,93,97},{"F","D-","D","D+","C-","C","C+","B-","B","B+","A-","A","A+"})</f>
        <v>F</v>
      </c>
      <c r="E16" s="286">
        <f t="shared" si="0"/>
        <v>0.11700000000000001</v>
      </c>
      <c r="F16" s="286"/>
    </row>
    <row r="17" spans="2:6">
      <c r="B17" s="142" t="s">
        <v>1567</v>
      </c>
      <c r="C17" s="243">
        <v>98</v>
      </c>
      <c r="D17" s="243" t="str">
        <f>LOOKUP(C17,{0,60,63,67,70,73,77,80,83,87,90,93,97},{"F","D-","D","D+","C-","C","C+","B-","B","B+","A-","A","A+"})</f>
        <v>A+</v>
      </c>
      <c r="E17" s="286">
        <f t="shared" si="0"/>
        <v>0.94099999999999995</v>
      </c>
      <c r="F17" s="286"/>
    </row>
    <row r="18" spans="2:6">
      <c r="B18" s="142" t="s">
        <v>1834</v>
      </c>
      <c r="C18" s="243">
        <v>92</v>
      </c>
      <c r="D18" s="243" t="str">
        <f>LOOKUP(C18,{0,60,63,67,70,73,77,80,83,87,90,93,97},{"F","D-","D","D+","C-","C","C+","B-","B","B+","A-","A","A+"})</f>
        <v>A-</v>
      </c>
      <c r="E18" s="286">
        <f t="shared" si="0"/>
        <v>0.70499999999999996</v>
      </c>
      <c r="F18" s="286"/>
    </row>
    <row r="19" spans="2:6">
      <c r="B19" s="142" t="s">
        <v>1570</v>
      </c>
      <c r="C19" s="243">
        <v>90</v>
      </c>
      <c r="D19" s="243" t="str">
        <f>LOOKUP(C19,{0,60,63,67,70,73,77,80,83,87,90,93,97},{"F","D-","D","D+","C-","C","C+","B-","B","B+","A-","A","A+"})</f>
        <v>A-</v>
      </c>
      <c r="E19" s="286">
        <f t="shared" si="0"/>
        <v>0.64700000000000002</v>
      </c>
      <c r="F19" s="286"/>
    </row>
    <row r="20" spans="2:6">
      <c r="B20" s="142" t="s">
        <v>1832</v>
      </c>
      <c r="C20" s="243">
        <v>88</v>
      </c>
      <c r="D20" s="243" t="str">
        <f>LOOKUP(C20,{0,60,63,67,70,73,77,80,83,87,90,93,97},{"F","D-","D","D+","C-","C","C+","B-","B","B+","A-","A","A+"})</f>
        <v>B+</v>
      </c>
      <c r="E20" s="286">
        <f t="shared" si="0"/>
        <v>0.58799999999999997</v>
      </c>
      <c r="F20" s="286"/>
    </row>
    <row r="21" spans="2:6">
      <c r="B21" s="142" t="s">
        <v>1836</v>
      </c>
      <c r="C21" s="243">
        <v>57</v>
      </c>
      <c r="D21" s="243" t="str">
        <f>LOOKUP(C21,{0,60,63,67,70,73,77,80,83,87,90,93,97},{"F","D-","D","D+","C-","C","C+","B-","B","B+","A-","A","A+"})</f>
        <v>F</v>
      </c>
      <c r="E21" s="286">
        <f t="shared" si="0"/>
        <v>0</v>
      </c>
      <c r="F21" s="286"/>
    </row>
  </sheetData>
  <sortState ref="B4:E21">
    <sortCondition ref="B4"/>
  </sortState>
  <pageMargins left="0.7" right="0.7" top="0.75" bottom="0.75" header="0.3" footer="0.3"/>
</worksheet>
</file>

<file path=xl/worksheets/sheet57.xml><?xml version="1.0" encoding="utf-8"?>
<worksheet xmlns="http://schemas.openxmlformats.org/spreadsheetml/2006/main" xmlns:r="http://schemas.openxmlformats.org/officeDocument/2006/relationships">
  <dimension ref="A1:G370"/>
  <sheetViews>
    <sheetView showGridLines="0" workbookViewId="0">
      <selection activeCell="F4" sqref="F4"/>
    </sheetView>
  </sheetViews>
  <sheetFormatPr defaultRowHeight="15.75"/>
  <cols>
    <col min="1" max="1" width="26.140625" style="142" customWidth="1"/>
    <col min="2" max="2" width="12.7109375" style="142" bestFit="1" customWidth="1"/>
    <col min="3" max="7" width="10.5703125" style="142" customWidth="1"/>
    <col min="8" max="16384" width="9.140625" style="142"/>
  </cols>
  <sheetData>
    <row r="1" spans="1:7" ht="30">
      <c r="A1" s="113" t="s">
        <v>1838</v>
      </c>
      <c r="B1" s="114"/>
      <c r="C1" s="3"/>
      <c r="D1" s="3"/>
      <c r="E1" s="637" t="s">
        <v>2056</v>
      </c>
      <c r="F1" s="3"/>
      <c r="G1" s="3"/>
    </row>
    <row r="3" spans="1:7">
      <c r="A3" s="177" t="s">
        <v>24</v>
      </c>
      <c r="B3" s="253">
        <v>400000</v>
      </c>
    </row>
    <row r="4" spans="1:7">
      <c r="A4" s="180" t="s">
        <v>25</v>
      </c>
      <c r="B4" s="235">
        <v>5.5E-2</v>
      </c>
      <c r="C4" s="142" t="s">
        <v>1842</v>
      </c>
    </row>
    <row r="5" spans="1:7">
      <c r="A5" s="180" t="s">
        <v>1839</v>
      </c>
      <c r="B5" s="283">
        <v>30</v>
      </c>
      <c r="C5" s="142" t="s">
        <v>1841</v>
      </c>
    </row>
    <row r="6" spans="1:7">
      <c r="A6" s="177"/>
      <c r="B6" s="177"/>
    </row>
    <row r="7" spans="1:7">
      <c r="A7" s="177" t="s">
        <v>1840</v>
      </c>
      <c r="B7" s="279">
        <f>PMT(B4/12,B5*12,B3)*-1</f>
        <v>2271.1560053880094</v>
      </c>
    </row>
    <row r="10" spans="1:7" ht="16.5" thickBot="1">
      <c r="B10" s="280" t="s">
        <v>1016</v>
      </c>
      <c r="C10" s="280" t="s">
        <v>1843</v>
      </c>
      <c r="D10" s="280" t="s">
        <v>1844</v>
      </c>
      <c r="E10" s="280" t="s">
        <v>1845</v>
      </c>
      <c r="F10" s="280" t="s">
        <v>1846</v>
      </c>
      <c r="G10" s="280" t="s">
        <v>1847</v>
      </c>
    </row>
    <row r="11" spans="1:7">
      <c r="A11" s="142">
        <v>1</v>
      </c>
      <c r="B11" s="254">
        <v>40298</v>
      </c>
      <c r="C11" s="284">
        <f>B3</f>
        <v>400000</v>
      </c>
      <c r="D11" s="284">
        <f>$B$7</f>
        <v>2271.1560053880094</v>
      </c>
      <c r="E11" s="284">
        <f>C11*$B$4/12</f>
        <v>1833.3333333333333</v>
      </c>
      <c r="F11" s="284">
        <f>D11-E11</f>
        <v>437.8226720546761</v>
      </c>
      <c r="G11" s="284">
        <f>C11-F11</f>
        <v>399562.1773279453</v>
      </c>
    </row>
    <row r="12" spans="1:7">
      <c r="A12" s="142">
        <v>2</v>
      </c>
      <c r="B12" s="254">
        <v>40329</v>
      </c>
      <c r="C12" s="284">
        <f>G11</f>
        <v>399562.1773279453</v>
      </c>
      <c r="D12" s="284">
        <f>$B$7</f>
        <v>2271.1560053880094</v>
      </c>
      <c r="E12" s="284">
        <f>C12*$B$4/12</f>
        <v>1831.3266460864161</v>
      </c>
      <c r="F12" s="284">
        <f>D12-E12</f>
        <v>439.82935930159329</v>
      </c>
      <c r="G12" s="284">
        <f>C12-F12</f>
        <v>399122.34796864371</v>
      </c>
    </row>
    <row r="13" spans="1:7">
      <c r="A13" s="142">
        <v>3</v>
      </c>
      <c r="B13" s="254">
        <v>40359</v>
      </c>
      <c r="C13" s="284">
        <f t="shared" ref="C13:C76" si="0">G12</f>
        <v>399122.34796864371</v>
      </c>
      <c r="D13" s="284">
        <f t="shared" ref="D13:D76" si="1">$B$7</f>
        <v>2271.1560053880094</v>
      </c>
      <c r="E13" s="284">
        <f t="shared" ref="E13:E76" si="2">C13*$B$4/12</f>
        <v>1829.3107615229503</v>
      </c>
      <c r="F13" s="284">
        <f t="shared" ref="F13:F76" si="3">D13-E13</f>
        <v>441.84524386505905</v>
      </c>
      <c r="G13" s="284">
        <f t="shared" ref="G13:G76" si="4">C13-F13</f>
        <v>398680.50272477866</v>
      </c>
    </row>
    <row r="14" spans="1:7">
      <c r="A14" s="142">
        <v>4</v>
      </c>
      <c r="B14" s="254">
        <v>40390</v>
      </c>
      <c r="C14" s="284">
        <f t="shared" si="0"/>
        <v>398680.50272477866</v>
      </c>
      <c r="D14" s="284">
        <f t="shared" si="1"/>
        <v>2271.1560053880094</v>
      </c>
      <c r="E14" s="284">
        <f t="shared" si="2"/>
        <v>1827.2856374885689</v>
      </c>
      <c r="F14" s="284">
        <f t="shared" si="3"/>
        <v>443.87036789944045</v>
      </c>
      <c r="G14" s="284">
        <f t="shared" si="4"/>
        <v>398236.63235687924</v>
      </c>
    </row>
    <row r="15" spans="1:7">
      <c r="A15" s="142">
        <v>5</v>
      </c>
      <c r="B15" s="254">
        <v>40421</v>
      </c>
      <c r="C15" s="284">
        <f t="shared" si="0"/>
        <v>398236.63235687924</v>
      </c>
      <c r="D15" s="284">
        <f t="shared" si="1"/>
        <v>2271.1560053880094</v>
      </c>
      <c r="E15" s="284">
        <f t="shared" si="2"/>
        <v>1825.2512316356967</v>
      </c>
      <c r="F15" s="284">
        <f t="shared" si="3"/>
        <v>445.90477375231262</v>
      </c>
      <c r="G15" s="284">
        <f t="shared" si="4"/>
        <v>397790.72758312692</v>
      </c>
    </row>
    <row r="16" spans="1:7">
      <c r="A16" s="142">
        <v>6</v>
      </c>
      <c r="B16" s="254">
        <v>40451</v>
      </c>
      <c r="C16" s="284">
        <f t="shared" si="0"/>
        <v>397790.72758312692</v>
      </c>
      <c r="D16" s="284">
        <f t="shared" si="1"/>
        <v>2271.1560053880094</v>
      </c>
      <c r="E16" s="284">
        <f t="shared" si="2"/>
        <v>1823.207501422665</v>
      </c>
      <c r="F16" s="284">
        <f t="shared" si="3"/>
        <v>447.94850396534434</v>
      </c>
      <c r="G16" s="284">
        <f t="shared" si="4"/>
        <v>397342.77907916158</v>
      </c>
    </row>
    <row r="17" spans="1:7">
      <c r="A17" s="142">
        <v>7</v>
      </c>
      <c r="B17" s="254">
        <v>40482</v>
      </c>
      <c r="C17" s="284">
        <f t="shared" si="0"/>
        <v>397342.77907916158</v>
      </c>
      <c r="D17" s="284">
        <f t="shared" si="1"/>
        <v>2271.1560053880094</v>
      </c>
      <c r="E17" s="284">
        <f t="shared" si="2"/>
        <v>1821.1544041128238</v>
      </c>
      <c r="F17" s="284">
        <f t="shared" si="3"/>
        <v>450.00160127518552</v>
      </c>
      <c r="G17" s="284">
        <f t="shared" si="4"/>
        <v>396892.77747788641</v>
      </c>
    </row>
    <row r="18" spans="1:7">
      <c r="A18" s="142">
        <v>8</v>
      </c>
      <c r="B18" s="254">
        <v>40512</v>
      </c>
      <c r="C18" s="284">
        <f t="shared" si="0"/>
        <v>396892.77747788641</v>
      </c>
      <c r="D18" s="284">
        <f t="shared" si="1"/>
        <v>2271.1560053880094</v>
      </c>
      <c r="E18" s="284">
        <f t="shared" si="2"/>
        <v>1819.0918967736461</v>
      </c>
      <c r="F18" s="284">
        <f t="shared" si="3"/>
        <v>452.06410861436325</v>
      </c>
      <c r="G18" s="284">
        <f t="shared" si="4"/>
        <v>396440.71336927207</v>
      </c>
    </row>
    <row r="19" spans="1:7">
      <c r="A19" s="142">
        <v>9</v>
      </c>
      <c r="B19" s="254">
        <v>40543</v>
      </c>
      <c r="C19" s="284">
        <f t="shared" si="0"/>
        <v>396440.71336927207</v>
      </c>
      <c r="D19" s="284">
        <f t="shared" si="1"/>
        <v>2271.1560053880094</v>
      </c>
      <c r="E19" s="284">
        <f t="shared" si="2"/>
        <v>1817.0199362758303</v>
      </c>
      <c r="F19" s="284">
        <f t="shared" si="3"/>
        <v>454.13606911217903</v>
      </c>
      <c r="G19" s="284">
        <f t="shared" si="4"/>
        <v>395986.5773001599</v>
      </c>
    </row>
    <row r="20" spans="1:7">
      <c r="A20" s="142">
        <v>10</v>
      </c>
      <c r="B20" s="254">
        <v>40574</v>
      </c>
      <c r="C20" s="284">
        <f t="shared" si="0"/>
        <v>395986.5773001599</v>
      </c>
      <c r="D20" s="284">
        <f t="shared" si="1"/>
        <v>2271.1560053880094</v>
      </c>
      <c r="E20" s="284">
        <f t="shared" si="2"/>
        <v>1814.9384792923995</v>
      </c>
      <c r="F20" s="284">
        <f t="shared" si="3"/>
        <v>456.21752609560986</v>
      </c>
      <c r="G20" s="284">
        <f t="shared" si="4"/>
        <v>395530.35977406427</v>
      </c>
    </row>
    <row r="21" spans="1:7">
      <c r="A21" s="142">
        <v>11</v>
      </c>
      <c r="B21" s="254">
        <v>40602</v>
      </c>
      <c r="C21" s="284">
        <f t="shared" si="0"/>
        <v>395530.35977406427</v>
      </c>
      <c r="D21" s="284">
        <f t="shared" si="1"/>
        <v>2271.1560053880094</v>
      </c>
      <c r="E21" s="284">
        <f t="shared" si="2"/>
        <v>1812.8474822977944</v>
      </c>
      <c r="F21" s="284">
        <f t="shared" si="3"/>
        <v>458.30852309021498</v>
      </c>
      <c r="G21" s="284">
        <f t="shared" si="4"/>
        <v>395072.05125097407</v>
      </c>
    </row>
    <row r="22" spans="1:7">
      <c r="A22" s="142">
        <v>12</v>
      </c>
      <c r="B22" s="254">
        <v>40633</v>
      </c>
      <c r="C22" s="284">
        <f t="shared" si="0"/>
        <v>395072.05125097407</v>
      </c>
      <c r="D22" s="284">
        <f t="shared" si="1"/>
        <v>2271.1560053880094</v>
      </c>
      <c r="E22" s="284">
        <f t="shared" si="2"/>
        <v>1810.7469015669647</v>
      </c>
      <c r="F22" s="284">
        <f t="shared" si="3"/>
        <v>460.40910382104471</v>
      </c>
      <c r="G22" s="284">
        <f t="shared" si="4"/>
        <v>394611.64214715303</v>
      </c>
    </row>
    <row r="23" spans="1:7">
      <c r="A23" s="142">
        <v>13</v>
      </c>
      <c r="B23" s="254">
        <v>40663</v>
      </c>
      <c r="C23" s="284">
        <f t="shared" si="0"/>
        <v>394611.64214715303</v>
      </c>
      <c r="D23" s="284">
        <f t="shared" si="1"/>
        <v>2271.1560053880094</v>
      </c>
      <c r="E23" s="284">
        <f t="shared" si="2"/>
        <v>1808.6366931744515</v>
      </c>
      <c r="F23" s="284">
        <f t="shared" si="3"/>
        <v>462.5193122135579</v>
      </c>
      <c r="G23" s="284">
        <f t="shared" si="4"/>
        <v>394149.12283493945</v>
      </c>
    </row>
    <row r="24" spans="1:7">
      <c r="A24" s="142">
        <v>14</v>
      </c>
      <c r="B24" s="254">
        <v>40694</v>
      </c>
      <c r="C24" s="284">
        <f t="shared" si="0"/>
        <v>394149.12283493945</v>
      </c>
      <c r="D24" s="284">
        <f t="shared" si="1"/>
        <v>2271.1560053880094</v>
      </c>
      <c r="E24" s="284">
        <f t="shared" si="2"/>
        <v>1806.5168129934725</v>
      </c>
      <c r="F24" s="284">
        <f t="shared" si="3"/>
        <v>464.63919239453685</v>
      </c>
      <c r="G24" s="284">
        <f t="shared" si="4"/>
        <v>393684.48364254489</v>
      </c>
    </row>
    <row r="25" spans="1:7">
      <c r="A25" s="142">
        <v>15</v>
      </c>
      <c r="B25" s="254">
        <v>40724</v>
      </c>
      <c r="C25" s="284">
        <f t="shared" si="0"/>
        <v>393684.48364254489</v>
      </c>
      <c r="D25" s="284">
        <f t="shared" si="1"/>
        <v>2271.1560053880094</v>
      </c>
      <c r="E25" s="284">
        <f t="shared" si="2"/>
        <v>1804.3872166949975</v>
      </c>
      <c r="F25" s="284">
        <f t="shared" si="3"/>
        <v>466.76878869301186</v>
      </c>
      <c r="G25" s="284">
        <f t="shared" si="4"/>
        <v>393217.71485385188</v>
      </c>
    </row>
    <row r="26" spans="1:7">
      <c r="A26" s="142">
        <v>16</v>
      </c>
      <c r="B26" s="254">
        <v>40755</v>
      </c>
      <c r="C26" s="284">
        <f t="shared" si="0"/>
        <v>393217.71485385188</v>
      </c>
      <c r="D26" s="284">
        <f t="shared" si="1"/>
        <v>2271.1560053880094</v>
      </c>
      <c r="E26" s="284">
        <f t="shared" si="2"/>
        <v>1802.247859746821</v>
      </c>
      <c r="F26" s="284">
        <f t="shared" si="3"/>
        <v>468.90814564118841</v>
      </c>
      <c r="G26" s="284">
        <f t="shared" si="4"/>
        <v>392748.80670821067</v>
      </c>
    </row>
    <row r="27" spans="1:7">
      <c r="A27" s="142">
        <v>17</v>
      </c>
      <c r="B27" s="254">
        <v>40786</v>
      </c>
      <c r="C27" s="284">
        <f t="shared" si="0"/>
        <v>392748.80670821067</v>
      </c>
      <c r="D27" s="284">
        <f t="shared" si="1"/>
        <v>2271.1560053880094</v>
      </c>
      <c r="E27" s="284">
        <f t="shared" si="2"/>
        <v>1800.0986974126324</v>
      </c>
      <c r="F27" s="284">
        <f t="shared" si="3"/>
        <v>471.05730797537694</v>
      </c>
      <c r="G27" s="284">
        <f t="shared" si="4"/>
        <v>392277.74940023531</v>
      </c>
    </row>
    <row r="28" spans="1:7">
      <c r="A28" s="142">
        <v>18</v>
      </c>
      <c r="B28" s="254">
        <v>40816</v>
      </c>
      <c r="C28" s="284">
        <f t="shared" si="0"/>
        <v>392277.74940023531</v>
      </c>
      <c r="D28" s="284">
        <f t="shared" si="1"/>
        <v>2271.1560053880094</v>
      </c>
      <c r="E28" s="284">
        <f t="shared" si="2"/>
        <v>1797.9396847510786</v>
      </c>
      <c r="F28" s="284">
        <f t="shared" si="3"/>
        <v>473.21632063693073</v>
      </c>
      <c r="G28" s="284">
        <f t="shared" si="4"/>
        <v>391804.53307959839</v>
      </c>
    </row>
    <row r="29" spans="1:7">
      <c r="A29" s="142">
        <v>19</v>
      </c>
      <c r="B29" s="254">
        <v>40847</v>
      </c>
      <c r="C29" s="284">
        <f t="shared" si="0"/>
        <v>391804.53307959839</v>
      </c>
      <c r="D29" s="284">
        <f t="shared" si="1"/>
        <v>2271.1560053880094</v>
      </c>
      <c r="E29" s="284">
        <f t="shared" si="2"/>
        <v>1795.770776614826</v>
      </c>
      <c r="F29" s="284">
        <f t="shared" si="3"/>
        <v>475.38522877318337</v>
      </c>
      <c r="G29" s="284">
        <f t="shared" si="4"/>
        <v>391329.14785082522</v>
      </c>
    </row>
    <row r="30" spans="1:7">
      <c r="A30" s="142">
        <v>20</v>
      </c>
      <c r="B30" s="254">
        <v>40877</v>
      </c>
      <c r="C30" s="284">
        <f t="shared" si="0"/>
        <v>391329.14785082522</v>
      </c>
      <c r="D30" s="284">
        <f t="shared" si="1"/>
        <v>2271.1560053880094</v>
      </c>
      <c r="E30" s="284">
        <f t="shared" si="2"/>
        <v>1793.5919276496154</v>
      </c>
      <c r="F30" s="284">
        <f t="shared" si="3"/>
        <v>477.56407773839396</v>
      </c>
      <c r="G30" s="284">
        <f t="shared" si="4"/>
        <v>390851.58377308684</v>
      </c>
    </row>
    <row r="31" spans="1:7">
      <c r="A31" s="142">
        <v>21</v>
      </c>
      <c r="B31" s="254">
        <v>40908</v>
      </c>
      <c r="C31" s="284">
        <f t="shared" si="0"/>
        <v>390851.58377308684</v>
      </c>
      <c r="D31" s="284">
        <f t="shared" si="1"/>
        <v>2271.1560053880094</v>
      </c>
      <c r="E31" s="284">
        <f t="shared" si="2"/>
        <v>1791.4030922933146</v>
      </c>
      <c r="F31" s="284">
        <f t="shared" si="3"/>
        <v>479.7529130946948</v>
      </c>
      <c r="G31" s="284">
        <f t="shared" si="4"/>
        <v>390371.83085999213</v>
      </c>
    </row>
    <row r="32" spans="1:7">
      <c r="A32" s="142">
        <v>22</v>
      </c>
      <c r="B32" s="254">
        <v>40939</v>
      </c>
      <c r="C32" s="284">
        <f t="shared" si="0"/>
        <v>390371.83085999213</v>
      </c>
      <c r="D32" s="284">
        <f t="shared" si="1"/>
        <v>2271.1560053880094</v>
      </c>
      <c r="E32" s="284">
        <f t="shared" si="2"/>
        <v>1789.2042247749639</v>
      </c>
      <c r="F32" s="284">
        <f t="shared" si="3"/>
        <v>481.95178061304546</v>
      </c>
      <c r="G32" s="284">
        <f t="shared" si="4"/>
        <v>389889.87907937908</v>
      </c>
    </row>
    <row r="33" spans="1:7">
      <c r="A33" s="142">
        <v>23</v>
      </c>
      <c r="B33" s="254">
        <v>40968</v>
      </c>
      <c r="C33" s="284">
        <f t="shared" si="0"/>
        <v>389889.87907937908</v>
      </c>
      <c r="D33" s="284">
        <f t="shared" si="1"/>
        <v>2271.1560053880094</v>
      </c>
      <c r="E33" s="284">
        <f t="shared" si="2"/>
        <v>1786.995279113821</v>
      </c>
      <c r="F33" s="284">
        <f t="shared" si="3"/>
        <v>484.16072627418839</v>
      </c>
      <c r="G33" s="284">
        <f t="shared" si="4"/>
        <v>389405.71835310489</v>
      </c>
    </row>
    <row r="34" spans="1:7">
      <c r="A34" s="142">
        <v>24</v>
      </c>
      <c r="B34" s="254">
        <v>40999</v>
      </c>
      <c r="C34" s="284">
        <f t="shared" si="0"/>
        <v>389405.71835310489</v>
      </c>
      <c r="D34" s="284">
        <f t="shared" si="1"/>
        <v>2271.1560053880094</v>
      </c>
      <c r="E34" s="284">
        <f t="shared" si="2"/>
        <v>1784.7762091183974</v>
      </c>
      <c r="F34" s="284">
        <f t="shared" si="3"/>
        <v>486.37979626961192</v>
      </c>
      <c r="G34" s="284">
        <f t="shared" si="4"/>
        <v>388919.33855683525</v>
      </c>
    </row>
    <row r="35" spans="1:7">
      <c r="A35" s="142">
        <v>25</v>
      </c>
      <c r="B35" s="254">
        <v>41029</v>
      </c>
      <c r="C35" s="284">
        <f t="shared" si="0"/>
        <v>388919.33855683525</v>
      </c>
      <c r="D35" s="284">
        <f t="shared" si="1"/>
        <v>2271.1560053880094</v>
      </c>
      <c r="E35" s="284">
        <f t="shared" si="2"/>
        <v>1782.5469683854951</v>
      </c>
      <c r="F35" s="284">
        <f t="shared" si="3"/>
        <v>488.60903700251424</v>
      </c>
      <c r="G35" s="284">
        <f t="shared" si="4"/>
        <v>388430.72951983276</v>
      </c>
    </row>
    <row r="36" spans="1:7">
      <c r="A36" s="142">
        <v>26</v>
      </c>
      <c r="B36" s="254">
        <v>41060</v>
      </c>
      <c r="C36" s="284">
        <f t="shared" si="0"/>
        <v>388430.72951983276</v>
      </c>
      <c r="D36" s="284">
        <f t="shared" si="1"/>
        <v>2271.1560053880094</v>
      </c>
      <c r="E36" s="284">
        <f t="shared" si="2"/>
        <v>1780.3075102992334</v>
      </c>
      <c r="F36" s="284">
        <f t="shared" si="3"/>
        <v>490.84849508877596</v>
      </c>
      <c r="G36" s="284">
        <f t="shared" si="4"/>
        <v>387939.88102474401</v>
      </c>
    </row>
    <row r="37" spans="1:7">
      <c r="A37" s="142">
        <v>27</v>
      </c>
      <c r="B37" s="254">
        <v>41090</v>
      </c>
      <c r="C37" s="284">
        <f t="shared" si="0"/>
        <v>387939.88102474401</v>
      </c>
      <c r="D37" s="284">
        <f t="shared" si="1"/>
        <v>2271.1560053880094</v>
      </c>
      <c r="E37" s="284">
        <f t="shared" si="2"/>
        <v>1778.0577880300768</v>
      </c>
      <c r="F37" s="284">
        <f t="shared" si="3"/>
        <v>493.09821735793253</v>
      </c>
      <c r="G37" s="284">
        <f t="shared" si="4"/>
        <v>387446.78280738607</v>
      </c>
    </row>
    <row r="38" spans="1:7">
      <c r="A38" s="142">
        <v>28</v>
      </c>
      <c r="B38" s="254">
        <v>41121</v>
      </c>
      <c r="C38" s="284">
        <f t="shared" si="0"/>
        <v>387446.78280738607</v>
      </c>
      <c r="D38" s="284">
        <f t="shared" si="1"/>
        <v>2271.1560053880094</v>
      </c>
      <c r="E38" s="284">
        <f t="shared" si="2"/>
        <v>1775.7977545338529</v>
      </c>
      <c r="F38" s="284">
        <f t="shared" si="3"/>
        <v>495.35825085415649</v>
      </c>
      <c r="G38" s="284">
        <f t="shared" si="4"/>
        <v>386951.42455653194</v>
      </c>
    </row>
    <row r="39" spans="1:7">
      <c r="A39" s="142">
        <v>29</v>
      </c>
      <c r="B39" s="254">
        <v>41152</v>
      </c>
      <c r="C39" s="284">
        <f t="shared" si="0"/>
        <v>386951.42455653194</v>
      </c>
      <c r="D39" s="284">
        <f t="shared" si="1"/>
        <v>2271.1560053880094</v>
      </c>
      <c r="E39" s="284">
        <f t="shared" si="2"/>
        <v>1773.5273625507714</v>
      </c>
      <c r="F39" s="284">
        <f t="shared" si="3"/>
        <v>497.62864283723798</v>
      </c>
      <c r="G39" s="284">
        <f t="shared" si="4"/>
        <v>386453.79591369472</v>
      </c>
    </row>
    <row r="40" spans="1:7">
      <c r="A40" s="142">
        <v>30</v>
      </c>
      <c r="B40" s="254">
        <v>41182</v>
      </c>
      <c r="C40" s="284">
        <f t="shared" si="0"/>
        <v>386453.79591369472</v>
      </c>
      <c r="D40" s="284">
        <f t="shared" si="1"/>
        <v>2271.1560053880094</v>
      </c>
      <c r="E40" s="284">
        <f t="shared" si="2"/>
        <v>1771.2465646044341</v>
      </c>
      <c r="F40" s="284">
        <f t="shared" si="3"/>
        <v>499.90944078357529</v>
      </c>
      <c r="G40" s="284">
        <f t="shared" si="4"/>
        <v>385953.88647291117</v>
      </c>
    </row>
    <row r="41" spans="1:7">
      <c r="A41" s="142">
        <v>31</v>
      </c>
      <c r="B41" s="254">
        <v>41213</v>
      </c>
      <c r="C41" s="284">
        <f t="shared" si="0"/>
        <v>385953.88647291117</v>
      </c>
      <c r="D41" s="284">
        <f t="shared" si="1"/>
        <v>2271.1560053880094</v>
      </c>
      <c r="E41" s="284">
        <f t="shared" si="2"/>
        <v>1768.9553130008428</v>
      </c>
      <c r="F41" s="284">
        <f t="shared" si="3"/>
        <v>502.20069238716655</v>
      </c>
      <c r="G41" s="284">
        <f t="shared" si="4"/>
        <v>385451.68578052399</v>
      </c>
    </row>
    <row r="42" spans="1:7">
      <c r="A42" s="142">
        <v>32</v>
      </c>
      <c r="B42" s="254">
        <v>41243</v>
      </c>
      <c r="C42" s="284">
        <f t="shared" si="0"/>
        <v>385451.68578052399</v>
      </c>
      <c r="D42" s="284">
        <f t="shared" si="1"/>
        <v>2271.1560053880094</v>
      </c>
      <c r="E42" s="284">
        <f t="shared" si="2"/>
        <v>1766.6535598274015</v>
      </c>
      <c r="F42" s="284">
        <f t="shared" si="3"/>
        <v>504.50244556060784</v>
      </c>
      <c r="G42" s="284">
        <f t="shared" si="4"/>
        <v>384947.1833349634</v>
      </c>
    </row>
    <row r="43" spans="1:7">
      <c r="A43" s="142">
        <v>33</v>
      </c>
      <c r="B43" s="254">
        <v>41274</v>
      </c>
      <c r="C43" s="284">
        <f t="shared" si="0"/>
        <v>384947.1833349634</v>
      </c>
      <c r="D43" s="284">
        <f t="shared" si="1"/>
        <v>2271.1560053880094</v>
      </c>
      <c r="E43" s="284">
        <f t="shared" si="2"/>
        <v>1764.3412569519157</v>
      </c>
      <c r="F43" s="284">
        <f t="shared" si="3"/>
        <v>506.81474843609362</v>
      </c>
      <c r="G43" s="284">
        <f t="shared" si="4"/>
        <v>384440.3685865273</v>
      </c>
    </row>
    <row r="44" spans="1:7">
      <c r="A44" s="142">
        <v>34</v>
      </c>
      <c r="B44" s="254">
        <v>41305</v>
      </c>
      <c r="C44" s="284">
        <f t="shared" si="0"/>
        <v>384440.3685865273</v>
      </c>
      <c r="D44" s="284">
        <f t="shared" si="1"/>
        <v>2271.1560053880094</v>
      </c>
      <c r="E44" s="284">
        <f t="shared" si="2"/>
        <v>1762.0183560215835</v>
      </c>
      <c r="F44" s="284">
        <f t="shared" si="3"/>
        <v>509.13764936642588</v>
      </c>
      <c r="G44" s="284">
        <f t="shared" si="4"/>
        <v>383931.2309371609</v>
      </c>
    </row>
    <row r="45" spans="1:7">
      <c r="A45" s="142">
        <v>35</v>
      </c>
      <c r="B45" s="254">
        <v>41333</v>
      </c>
      <c r="C45" s="284">
        <f t="shared" si="0"/>
        <v>383931.2309371609</v>
      </c>
      <c r="D45" s="284">
        <f t="shared" si="1"/>
        <v>2271.1560053880094</v>
      </c>
      <c r="E45" s="284">
        <f t="shared" si="2"/>
        <v>1759.6848084619876</v>
      </c>
      <c r="F45" s="284">
        <f t="shared" si="3"/>
        <v>511.47119692602178</v>
      </c>
      <c r="G45" s="284">
        <f t="shared" si="4"/>
        <v>383419.75974023488</v>
      </c>
    </row>
    <row r="46" spans="1:7">
      <c r="A46" s="142">
        <v>36</v>
      </c>
      <c r="B46" s="254">
        <v>41364</v>
      </c>
      <c r="C46" s="284">
        <f t="shared" si="0"/>
        <v>383419.75974023488</v>
      </c>
      <c r="D46" s="284">
        <f t="shared" si="1"/>
        <v>2271.1560053880094</v>
      </c>
      <c r="E46" s="284">
        <f t="shared" si="2"/>
        <v>1757.3405654760766</v>
      </c>
      <c r="F46" s="284">
        <f t="shared" si="3"/>
        <v>513.8154399119328</v>
      </c>
      <c r="G46" s="284">
        <f t="shared" si="4"/>
        <v>382905.94430032297</v>
      </c>
    </row>
    <row r="47" spans="1:7">
      <c r="A47" s="142">
        <v>37</v>
      </c>
      <c r="B47" s="254">
        <v>41394</v>
      </c>
      <c r="C47" s="284">
        <f t="shared" si="0"/>
        <v>382905.94430032297</v>
      </c>
      <c r="D47" s="284">
        <f t="shared" si="1"/>
        <v>2271.1560053880094</v>
      </c>
      <c r="E47" s="284">
        <f t="shared" si="2"/>
        <v>1754.9855780431469</v>
      </c>
      <c r="F47" s="284">
        <f t="shared" si="3"/>
        <v>516.17042734486245</v>
      </c>
      <c r="G47" s="284">
        <f t="shared" si="4"/>
        <v>382389.77387297811</v>
      </c>
    </row>
    <row r="48" spans="1:7">
      <c r="A48" s="142">
        <v>38</v>
      </c>
      <c r="B48" s="254">
        <v>41425</v>
      </c>
      <c r="C48" s="284">
        <f t="shared" si="0"/>
        <v>382389.77387297811</v>
      </c>
      <c r="D48" s="284">
        <f t="shared" si="1"/>
        <v>2271.1560053880094</v>
      </c>
      <c r="E48" s="284">
        <f t="shared" si="2"/>
        <v>1752.6197969178163</v>
      </c>
      <c r="F48" s="284">
        <f t="shared" si="3"/>
        <v>518.53620847019306</v>
      </c>
      <c r="G48" s="284">
        <f t="shared" si="4"/>
        <v>381871.23766450793</v>
      </c>
    </row>
    <row r="49" spans="1:7">
      <c r="A49" s="142">
        <v>39</v>
      </c>
      <c r="B49" s="254">
        <v>41455</v>
      </c>
      <c r="C49" s="284">
        <f t="shared" si="0"/>
        <v>381871.23766450793</v>
      </c>
      <c r="D49" s="284">
        <f t="shared" si="1"/>
        <v>2271.1560053880094</v>
      </c>
      <c r="E49" s="284">
        <f t="shared" si="2"/>
        <v>1750.2431726289949</v>
      </c>
      <c r="F49" s="284">
        <f t="shared" si="3"/>
        <v>520.91283275901446</v>
      </c>
      <c r="G49" s="284">
        <f t="shared" si="4"/>
        <v>381350.32483174891</v>
      </c>
    </row>
    <row r="50" spans="1:7">
      <c r="A50" s="142">
        <v>40</v>
      </c>
      <c r="B50" s="254">
        <v>41486</v>
      </c>
      <c r="C50" s="284">
        <f t="shared" si="0"/>
        <v>381350.32483174891</v>
      </c>
      <c r="D50" s="284">
        <f t="shared" si="1"/>
        <v>2271.1560053880094</v>
      </c>
      <c r="E50" s="284">
        <f t="shared" si="2"/>
        <v>1747.8556554788493</v>
      </c>
      <c r="F50" s="284">
        <f t="shared" si="3"/>
        <v>523.3003499091601</v>
      </c>
      <c r="G50" s="284">
        <f t="shared" si="4"/>
        <v>380827.02448183973</v>
      </c>
    </row>
    <row r="51" spans="1:7">
      <c r="A51" s="142">
        <v>41</v>
      </c>
      <c r="B51" s="254">
        <v>41517</v>
      </c>
      <c r="C51" s="284">
        <f t="shared" si="0"/>
        <v>380827.02448183973</v>
      </c>
      <c r="D51" s="284">
        <f t="shared" si="1"/>
        <v>2271.1560053880094</v>
      </c>
      <c r="E51" s="284">
        <f t="shared" si="2"/>
        <v>1745.4571955417653</v>
      </c>
      <c r="F51" s="284">
        <f t="shared" si="3"/>
        <v>525.6988098462441</v>
      </c>
      <c r="G51" s="284">
        <f t="shared" si="4"/>
        <v>380301.32567199349</v>
      </c>
    </row>
    <row r="52" spans="1:7">
      <c r="A52" s="142">
        <v>42</v>
      </c>
      <c r="B52" s="254">
        <v>41547</v>
      </c>
      <c r="C52" s="284">
        <f t="shared" si="0"/>
        <v>380301.32567199349</v>
      </c>
      <c r="D52" s="284">
        <f t="shared" si="1"/>
        <v>2271.1560053880094</v>
      </c>
      <c r="E52" s="284">
        <f t="shared" si="2"/>
        <v>1743.0477426633036</v>
      </c>
      <c r="F52" s="284">
        <f t="shared" si="3"/>
        <v>528.10826272470581</v>
      </c>
      <c r="G52" s="284">
        <f t="shared" si="4"/>
        <v>379773.21740926878</v>
      </c>
    </row>
    <row r="53" spans="1:7">
      <c r="A53" s="142">
        <v>43</v>
      </c>
      <c r="B53" s="254">
        <v>41578</v>
      </c>
      <c r="C53" s="284">
        <f t="shared" si="0"/>
        <v>379773.21740926878</v>
      </c>
      <c r="D53" s="284">
        <f t="shared" si="1"/>
        <v>2271.1560053880094</v>
      </c>
      <c r="E53" s="284">
        <f t="shared" si="2"/>
        <v>1740.6272464591486</v>
      </c>
      <c r="F53" s="284">
        <f t="shared" si="3"/>
        <v>530.52875892886073</v>
      </c>
      <c r="G53" s="284">
        <f t="shared" si="4"/>
        <v>379242.6886503399</v>
      </c>
    </row>
    <row r="54" spans="1:7">
      <c r="A54" s="142">
        <v>44</v>
      </c>
      <c r="B54" s="254">
        <v>41608</v>
      </c>
      <c r="C54" s="284">
        <f t="shared" si="0"/>
        <v>379242.6886503399</v>
      </c>
      <c r="D54" s="284">
        <f t="shared" si="1"/>
        <v>2271.1560053880094</v>
      </c>
      <c r="E54" s="284">
        <f t="shared" si="2"/>
        <v>1738.1956563140577</v>
      </c>
      <c r="F54" s="284">
        <f t="shared" si="3"/>
        <v>532.96034907395165</v>
      </c>
      <c r="G54" s="284">
        <f t="shared" si="4"/>
        <v>378709.72830126598</v>
      </c>
    </row>
    <row r="55" spans="1:7">
      <c r="A55" s="142">
        <v>45</v>
      </c>
      <c r="B55" s="254">
        <v>41639</v>
      </c>
      <c r="C55" s="284">
        <f t="shared" si="0"/>
        <v>378709.72830126598</v>
      </c>
      <c r="D55" s="284">
        <f t="shared" si="1"/>
        <v>2271.1560053880094</v>
      </c>
      <c r="E55" s="284">
        <f t="shared" si="2"/>
        <v>1735.7529213808023</v>
      </c>
      <c r="F55" s="284">
        <f t="shared" si="3"/>
        <v>535.4030840072071</v>
      </c>
      <c r="G55" s="284">
        <f t="shared" si="4"/>
        <v>378174.32521725877</v>
      </c>
    </row>
    <row r="56" spans="1:7">
      <c r="A56" s="142">
        <v>46</v>
      </c>
      <c r="B56" s="254">
        <v>41670</v>
      </c>
      <c r="C56" s="284">
        <f t="shared" si="0"/>
        <v>378174.32521725877</v>
      </c>
      <c r="D56" s="284">
        <f t="shared" si="1"/>
        <v>2271.1560053880094</v>
      </c>
      <c r="E56" s="284">
        <f t="shared" si="2"/>
        <v>1733.2989905791028</v>
      </c>
      <c r="F56" s="284">
        <f t="shared" si="3"/>
        <v>537.85701480890657</v>
      </c>
      <c r="G56" s="284">
        <f t="shared" si="4"/>
        <v>377636.46820244985</v>
      </c>
    </row>
    <row r="57" spans="1:7">
      <c r="A57" s="142">
        <v>47</v>
      </c>
      <c r="B57" s="254">
        <v>41698</v>
      </c>
      <c r="C57" s="284">
        <f t="shared" si="0"/>
        <v>377636.46820244985</v>
      </c>
      <c r="D57" s="284">
        <f t="shared" si="1"/>
        <v>2271.1560053880094</v>
      </c>
      <c r="E57" s="284">
        <f t="shared" si="2"/>
        <v>1730.8338125945618</v>
      </c>
      <c r="F57" s="284">
        <f t="shared" si="3"/>
        <v>540.32219279344758</v>
      </c>
      <c r="G57" s="284">
        <f t="shared" si="4"/>
        <v>377096.14600965643</v>
      </c>
    </row>
    <row r="58" spans="1:7">
      <c r="A58" s="142">
        <v>48</v>
      </c>
      <c r="B58" s="254">
        <v>41729</v>
      </c>
      <c r="C58" s="284">
        <f t="shared" si="0"/>
        <v>377096.14600965643</v>
      </c>
      <c r="D58" s="284">
        <f t="shared" si="1"/>
        <v>2271.1560053880094</v>
      </c>
      <c r="E58" s="284">
        <f t="shared" si="2"/>
        <v>1728.357335877592</v>
      </c>
      <c r="F58" s="284">
        <f t="shared" si="3"/>
        <v>542.79866951041731</v>
      </c>
      <c r="G58" s="284">
        <f t="shared" si="4"/>
        <v>376553.34734014602</v>
      </c>
    </row>
    <row r="59" spans="1:7">
      <c r="A59" s="142">
        <v>49</v>
      </c>
      <c r="B59" s="254">
        <v>41759</v>
      </c>
      <c r="C59" s="284">
        <f t="shared" si="0"/>
        <v>376553.34734014602</v>
      </c>
      <c r="D59" s="284">
        <f t="shared" si="1"/>
        <v>2271.1560053880094</v>
      </c>
      <c r="E59" s="284">
        <f t="shared" si="2"/>
        <v>1725.8695086423359</v>
      </c>
      <c r="F59" s="284">
        <f t="shared" si="3"/>
        <v>545.2864967456735</v>
      </c>
      <c r="G59" s="284">
        <f t="shared" si="4"/>
        <v>376008.06084340037</v>
      </c>
    </row>
    <row r="60" spans="1:7">
      <c r="A60" s="142">
        <v>50</v>
      </c>
      <c r="B60" s="254">
        <v>41790</v>
      </c>
      <c r="C60" s="284">
        <f t="shared" si="0"/>
        <v>376008.06084340037</v>
      </c>
      <c r="D60" s="284">
        <f t="shared" si="1"/>
        <v>2271.1560053880094</v>
      </c>
      <c r="E60" s="284">
        <f t="shared" si="2"/>
        <v>1723.3702788655849</v>
      </c>
      <c r="F60" s="284">
        <f t="shared" si="3"/>
        <v>547.78572652242451</v>
      </c>
      <c r="G60" s="284">
        <f t="shared" si="4"/>
        <v>375460.27511687792</v>
      </c>
    </row>
    <row r="61" spans="1:7">
      <c r="A61" s="142">
        <v>51</v>
      </c>
      <c r="B61" s="254">
        <v>41820</v>
      </c>
      <c r="C61" s="284">
        <f t="shared" si="0"/>
        <v>375460.27511687792</v>
      </c>
      <c r="D61" s="284">
        <f t="shared" si="1"/>
        <v>2271.1560053880094</v>
      </c>
      <c r="E61" s="284">
        <f t="shared" si="2"/>
        <v>1720.8595942856903</v>
      </c>
      <c r="F61" s="284">
        <f t="shared" si="3"/>
        <v>550.2964111023191</v>
      </c>
      <c r="G61" s="284">
        <f t="shared" si="4"/>
        <v>374909.97870577557</v>
      </c>
    </row>
    <row r="62" spans="1:7">
      <c r="A62" s="142">
        <v>52</v>
      </c>
      <c r="B62" s="254">
        <v>41851</v>
      </c>
      <c r="C62" s="284">
        <f t="shared" si="0"/>
        <v>374909.97870577557</v>
      </c>
      <c r="D62" s="284">
        <f t="shared" si="1"/>
        <v>2271.1560053880094</v>
      </c>
      <c r="E62" s="284">
        <f t="shared" si="2"/>
        <v>1718.3374024014713</v>
      </c>
      <c r="F62" s="284">
        <f t="shared" si="3"/>
        <v>552.81860298653805</v>
      </c>
      <c r="G62" s="284">
        <f t="shared" si="4"/>
        <v>374357.16010278906</v>
      </c>
    </row>
    <row r="63" spans="1:7">
      <c r="A63" s="142">
        <v>53</v>
      </c>
      <c r="B63" s="254">
        <v>41882</v>
      </c>
      <c r="C63" s="284">
        <f t="shared" si="0"/>
        <v>374357.16010278906</v>
      </c>
      <c r="D63" s="284">
        <f t="shared" si="1"/>
        <v>2271.1560053880094</v>
      </c>
      <c r="E63" s="284">
        <f t="shared" si="2"/>
        <v>1715.8036504711165</v>
      </c>
      <c r="F63" s="284">
        <f t="shared" si="3"/>
        <v>555.35235491689286</v>
      </c>
      <c r="G63" s="284">
        <f t="shared" si="4"/>
        <v>373801.80774787214</v>
      </c>
    </row>
    <row r="64" spans="1:7">
      <c r="A64" s="142">
        <v>54</v>
      </c>
      <c r="B64" s="254">
        <v>41912</v>
      </c>
      <c r="C64" s="284">
        <f t="shared" si="0"/>
        <v>373801.80774787214</v>
      </c>
      <c r="D64" s="284">
        <f t="shared" si="1"/>
        <v>2271.1560053880094</v>
      </c>
      <c r="E64" s="284">
        <f t="shared" si="2"/>
        <v>1713.2582855110807</v>
      </c>
      <c r="F64" s="284">
        <f t="shared" si="3"/>
        <v>557.8977198769287</v>
      </c>
      <c r="G64" s="284">
        <f t="shared" si="4"/>
        <v>373243.91002799518</v>
      </c>
    </row>
    <row r="65" spans="1:7">
      <c r="A65" s="142">
        <v>55</v>
      </c>
      <c r="B65" s="254">
        <v>41943</v>
      </c>
      <c r="C65" s="284">
        <f t="shared" si="0"/>
        <v>373243.91002799518</v>
      </c>
      <c r="D65" s="284">
        <f t="shared" si="1"/>
        <v>2271.1560053880094</v>
      </c>
      <c r="E65" s="284">
        <f t="shared" si="2"/>
        <v>1710.7012542949778</v>
      </c>
      <c r="F65" s="284">
        <f t="shared" si="3"/>
        <v>560.45475109303152</v>
      </c>
      <c r="G65" s="284">
        <f t="shared" si="4"/>
        <v>372683.45527690212</v>
      </c>
    </row>
    <row r="66" spans="1:7">
      <c r="A66" s="142">
        <v>56</v>
      </c>
      <c r="B66" s="254">
        <v>41973</v>
      </c>
      <c r="C66" s="284">
        <f t="shared" si="0"/>
        <v>372683.45527690212</v>
      </c>
      <c r="D66" s="284">
        <f t="shared" si="1"/>
        <v>2271.1560053880094</v>
      </c>
      <c r="E66" s="284">
        <f t="shared" si="2"/>
        <v>1708.1325033524681</v>
      </c>
      <c r="F66" s="284">
        <f t="shared" si="3"/>
        <v>563.02350203554124</v>
      </c>
      <c r="G66" s="284">
        <f t="shared" si="4"/>
        <v>372120.43177486659</v>
      </c>
    </row>
    <row r="67" spans="1:7">
      <c r="A67" s="142">
        <v>57</v>
      </c>
      <c r="B67" s="254">
        <v>42004</v>
      </c>
      <c r="C67" s="284">
        <f t="shared" si="0"/>
        <v>372120.43177486659</v>
      </c>
      <c r="D67" s="284">
        <f t="shared" si="1"/>
        <v>2271.1560053880094</v>
      </c>
      <c r="E67" s="284">
        <f t="shared" si="2"/>
        <v>1705.5519789681384</v>
      </c>
      <c r="F67" s="284">
        <f t="shared" si="3"/>
        <v>565.60402641987093</v>
      </c>
      <c r="G67" s="284">
        <f t="shared" si="4"/>
        <v>371554.82774844673</v>
      </c>
    </row>
    <row r="68" spans="1:7">
      <c r="A68" s="142">
        <v>58</v>
      </c>
      <c r="B68" s="254">
        <v>42035</v>
      </c>
      <c r="C68" s="284">
        <f t="shared" si="0"/>
        <v>371554.82774844673</v>
      </c>
      <c r="D68" s="284">
        <f t="shared" si="1"/>
        <v>2271.1560053880094</v>
      </c>
      <c r="E68" s="284">
        <f t="shared" si="2"/>
        <v>1702.9596271803809</v>
      </c>
      <c r="F68" s="284">
        <f t="shared" si="3"/>
        <v>568.19637820762841</v>
      </c>
      <c r="G68" s="284">
        <f t="shared" si="4"/>
        <v>370986.63137023908</v>
      </c>
    </row>
    <row r="69" spans="1:7">
      <c r="A69" s="142">
        <v>59</v>
      </c>
      <c r="B69" s="254">
        <v>42063</v>
      </c>
      <c r="C69" s="284">
        <f t="shared" si="0"/>
        <v>370986.63137023908</v>
      </c>
      <c r="D69" s="284">
        <f t="shared" si="1"/>
        <v>2271.1560053880094</v>
      </c>
      <c r="E69" s="284">
        <f t="shared" si="2"/>
        <v>1700.3553937802624</v>
      </c>
      <c r="F69" s="284">
        <f t="shared" si="3"/>
        <v>570.80061160774699</v>
      </c>
      <c r="G69" s="284">
        <f t="shared" si="4"/>
        <v>370415.83075863135</v>
      </c>
    </row>
    <row r="70" spans="1:7">
      <c r="A70" s="142">
        <v>60</v>
      </c>
      <c r="B70" s="254">
        <v>42094</v>
      </c>
      <c r="C70" s="284">
        <f t="shared" si="0"/>
        <v>370415.83075863135</v>
      </c>
      <c r="D70" s="284">
        <f t="shared" si="1"/>
        <v>2271.1560053880094</v>
      </c>
      <c r="E70" s="284">
        <f t="shared" si="2"/>
        <v>1697.7392243103939</v>
      </c>
      <c r="F70" s="284">
        <f t="shared" si="3"/>
        <v>573.4167810776155</v>
      </c>
      <c r="G70" s="284">
        <f t="shared" si="4"/>
        <v>369842.41397755372</v>
      </c>
    </row>
    <row r="71" spans="1:7">
      <c r="A71" s="142">
        <v>61</v>
      </c>
      <c r="B71" s="254">
        <v>42124</v>
      </c>
      <c r="C71" s="284">
        <f t="shared" si="0"/>
        <v>369842.41397755372</v>
      </c>
      <c r="D71" s="284">
        <f t="shared" si="1"/>
        <v>2271.1560053880094</v>
      </c>
      <c r="E71" s="284">
        <f t="shared" si="2"/>
        <v>1695.111064063788</v>
      </c>
      <c r="F71" s="284">
        <f t="shared" si="3"/>
        <v>576.04494132422133</v>
      </c>
      <c r="G71" s="284">
        <f t="shared" si="4"/>
        <v>369266.3690362295</v>
      </c>
    </row>
    <row r="72" spans="1:7">
      <c r="A72" s="142">
        <v>62</v>
      </c>
      <c r="B72" s="254">
        <v>42155</v>
      </c>
      <c r="C72" s="284">
        <f t="shared" si="0"/>
        <v>369266.3690362295</v>
      </c>
      <c r="D72" s="284">
        <f t="shared" si="1"/>
        <v>2271.1560053880094</v>
      </c>
      <c r="E72" s="284">
        <f t="shared" si="2"/>
        <v>1692.4708580827185</v>
      </c>
      <c r="F72" s="284">
        <f t="shared" si="3"/>
        <v>578.68514730529091</v>
      </c>
      <c r="G72" s="284">
        <f t="shared" si="4"/>
        <v>368687.68388892419</v>
      </c>
    </row>
    <row r="73" spans="1:7">
      <c r="A73" s="142">
        <v>63</v>
      </c>
      <c r="B73" s="254">
        <v>42185</v>
      </c>
      <c r="C73" s="284">
        <f t="shared" si="0"/>
        <v>368687.68388892419</v>
      </c>
      <c r="D73" s="284">
        <f t="shared" si="1"/>
        <v>2271.1560053880094</v>
      </c>
      <c r="E73" s="284">
        <f t="shared" si="2"/>
        <v>1689.8185511575693</v>
      </c>
      <c r="F73" s="284">
        <f t="shared" si="3"/>
        <v>581.33745423044002</v>
      </c>
      <c r="G73" s="284">
        <f t="shared" si="4"/>
        <v>368106.34643469373</v>
      </c>
    </row>
    <row r="74" spans="1:7">
      <c r="A74" s="142">
        <v>64</v>
      </c>
      <c r="B74" s="254">
        <v>42216</v>
      </c>
      <c r="C74" s="284">
        <f t="shared" si="0"/>
        <v>368106.34643469373</v>
      </c>
      <c r="D74" s="284">
        <f t="shared" si="1"/>
        <v>2271.1560053880094</v>
      </c>
      <c r="E74" s="284">
        <f t="shared" si="2"/>
        <v>1687.1540878256794</v>
      </c>
      <c r="F74" s="284">
        <f t="shared" si="3"/>
        <v>584.00191756232994</v>
      </c>
      <c r="G74" s="284">
        <f t="shared" si="4"/>
        <v>367522.34451713139</v>
      </c>
    </row>
    <row r="75" spans="1:7">
      <c r="A75" s="142">
        <v>65</v>
      </c>
      <c r="B75" s="254">
        <v>42247</v>
      </c>
      <c r="C75" s="284">
        <f t="shared" si="0"/>
        <v>367522.34451713139</v>
      </c>
      <c r="D75" s="284">
        <f t="shared" si="1"/>
        <v>2271.1560053880094</v>
      </c>
      <c r="E75" s="284">
        <f t="shared" si="2"/>
        <v>1684.4774123701854</v>
      </c>
      <c r="F75" s="284">
        <f t="shared" si="3"/>
        <v>586.67859301782391</v>
      </c>
      <c r="G75" s="284">
        <f t="shared" si="4"/>
        <v>366935.66592411359</v>
      </c>
    </row>
    <row r="76" spans="1:7">
      <c r="A76" s="142">
        <v>66</v>
      </c>
      <c r="B76" s="254">
        <v>42277</v>
      </c>
      <c r="C76" s="284">
        <f t="shared" si="0"/>
        <v>366935.66592411359</v>
      </c>
      <c r="D76" s="284">
        <f t="shared" si="1"/>
        <v>2271.1560053880094</v>
      </c>
      <c r="E76" s="284">
        <f t="shared" si="2"/>
        <v>1681.788468818854</v>
      </c>
      <c r="F76" s="284">
        <f t="shared" si="3"/>
        <v>589.36753656915539</v>
      </c>
      <c r="G76" s="284">
        <f t="shared" si="4"/>
        <v>366346.29838754446</v>
      </c>
    </row>
    <row r="77" spans="1:7">
      <c r="A77" s="142">
        <v>67</v>
      </c>
      <c r="B77" s="254">
        <v>42308</v>
      </c>
      <c r="C77" s="284">
        <f t="shared" ref="C77:C140" si="5">G76</f>
        <v>366346.29838754446</v>
      </c>
      <c r="D77" s="284">
        <f t="shared" ref="D77:D140" si="6">$B$7</f>
        <v>2271.1560053880094</v>
      </c>
      <c r="E77" s="284">
        <f t="shared" ref="E77:E140" si="7">C77*$B$4/12</f>
        <v>1679.0872009429122</v>
      </c>
      <c r="F77" s="284">
        <f t="shared" ref="F77:F140" si="8">D77-E77</f>
        <v>592.06880444509716</v>
      </c>
      <c r="G77" s="284">
        <f t="shared" ref="G77:G140" si="9">C77-F77</f>
        <v>365754.22958309937</v>
      </c>
    </row>
    <row r="78" spans="1:7">
      <c r="A78" s="142">
        <v>68</v>
      </c>
      <c r="B78" s="254">
        <v>42338</v>
      </c>
      <c r="C78" s="284">
        <f t="shared" si="5"/>
        <v>365754.22958309937</v>
      </c>
      <c r="D78" s="284">
        <f t="shared" si="6"/>
        <v>2271.1560053880094</v>
      </c>
      <c r="E78" s="284">
        <f t="shared" si="7"/>
        <v>1676.373552255872</v>
      </c>
      <c r="F78" s="284">
        <f t="shared" si="8"/>
        <v>594.78245313213733</v>
      </c>
      <c r="G78" s="284">
        <f t="shared" si="9"/>
        <v>365159.44712996722</v>
      </c>
    </row>
    <row r="79" spans="1:7">
      <c r="A79" s="142">
        <v>69</v>
      </c>
      <c r="B79" s="254">
        <v>42369</v>
      </c>
      <c r="C79" s="284">
        <f t="shared" si="5"/>
        <v>365159.44712996722</v>
      </c>
      <c r="D79" s="284">
        <f t="shared" si="6"/>
        <v>2271.1560053880094</v>
      </c>
      <c r="E79" s="284">
        <f t="shared" si="7"/>
        <v>1673.6474660123497</v>
      </c>
      <c r="F79" s="284">
        <f t="shared" si="8"/>
        <v>597.50853937565967</v>
      </c>
      <c r="G79" s="284">
        <f t="shared" si="9"/>
        <v>364561.93859059154</v>
      </c>
    </row>
    <row r="80" spans="1:7">
      <c r="A80" s="142">
        <v>70</v>
      </c>
      <c r="B80" s="254">
        <v>42400</v>
      </c>
      <c r="C80" s="284">
        <f t="shared" si="5"/>
        <v>364561.93859059154</v>
      </c>
      <c r="D80" s="284">
        <f t="shared" si="6"/>
        <v>2271.1560053880094</v>
      </c>
      <c r="E80" s="284">
        <f t="shared" si="7"/>
        <v>1670.908885206878</v>
      </c>
      <c r="F80" s="284">
        <f t="shared" si="8"/>
        <v>600.24712018113132</v>
      </c>
      <c r="G80" s="284">
        <f t="shared" si="9"/>
        <v>363961.69147041038</v>
      </c>
    </row>
    <row r="81" spans="1:7">
      <c r="A81" s="142">
        <v>71</v>
      </c>
      <c r="B81" s="254">
        <v>42429</v>
      </c>
      <c r="C81" s="284">
        <f t="shared" si="5"/>
        <v>363961.69147041038</v>
      </c>
      <c r="D81" s="284">
        <f t="shared" si="6"/>
        <v>2271.1560053880094</v>
      </c>
      <c r="E81" s="284">
        <f t="shared" si="7"/>
        <v>1668.1577525727143</v>
      </c>
      <c r="F81" s="284">
        <f t="shared" si="8"/>
        <v>602.99825281529502</v>
      </c>
      <c r="G81" s="284">
        <f t="shared" si="9"/>
        <v>363358.69321759511</v>
      </c>
    </row>
    <row r="82" spans="1:7">
      <c r="A82" s="142">
        <v>72</v>
      </c>
      <c r="B82" s="254">
        <v>42460</v>
      </c>
      <c r="C82" s="284">
        <f t="shared" si="5"/>
        <v>363358.69321759511</v>
      </c>
      <c r="D82" s="284">
        <f t="shared" si="6"/>
        <v>2271.1560053880094</v>
      </c>
      <c r="E82" s="284">
        <f t="shared" si="7"/>
        <v>1665.3940105806441</v>
      </c>
      <c r="F82" s="284">
        <f t="shared" si="8"/>
        <v>605.76199480736523</v>
      </c>
      <c r="G82" s="284">
        <f t="shared" si="9"/>
        <v>362752.93122278777</v>
      </c>
    </row>
    <row r="83" spans="1:7">
      <c r="A83" s="142">
        <v>73</v>
      </c>
      <c r="B83" s="254">
        <v>42490</v>
      </c>
      <c r="C83" s="284">
        <f t="shared" si="5"/>
        <v>362752.93122278777</v>
      </c>
      <c r="D83" s="284">
        <f t="shared" si="6"/>
        <v>2271.1560053880094</v>
      </c>
      <c r="E83" s="284">
        <f t="shared" si="7"/>
        <v>1662.6176014377772</v>
      </c>
      <c r="F83" s="284">
        <f t="shared" si="8"/>
        <v>608.53840395023212</v>
      </c>
      <c r="G83" s="284">
        <f t="shared" si="9"/>
        <v>362144.39281883754</v>
      </c>
    </row>
    <row r="84" spans="1:7">
      <c r="A84" s="142">
        <v>74</v>
      </c>
      <c r="B84" s="254">
        <v>42521</v>
      </c>
      <c r="C84" s="284">
        <f t="shared" si="5"/>
        <v>362144.39281883754</v>
      </c>
      <c r="D84" s="284">
        <f t="shared" si="6"/>
        <v>2271.1560053880094</v>
      </c>
      <c r="E84" s="284">
        <f t="shared" si="7"/>
        <v>1659.8284670863386</v>
      </c>
      <c r="F84" s="284">
        <f t="shared" si="8"/>
        <v>611.32753830167076</v>
      </c>
      <c r="G84" s="284">
        <f t="shared" si="9"/>
        <v>361533.0652805359</v>
      </c>
    </row>
    <row r="85" spans="1:7">
      <c r="A85" s="142">
        <v>75</v>
      </c>
      <c r="B85" s="254">
        <v>42551</v>
      </c>
      <c r="C85" s="284">
        <f t="shared" si="5"/>
        <v>361533.0652805359</v>
      </c>
      <c r="D85" s="284">
        <f t="shared" si="6"/>
        <v>2271.1560053880094</v>
      </c>
      <c r="E85" s="284">
        <f t="shared" si="7"/>
        <v>1657.0265492024562</v>
      </c>
      <c r="F85" s="284">
        <f t="shared" si="8"/>
        <v>614.12945618555318</v>
      </c>
      <c r="G85" s="284">
        <f t="shared" si="9"/>
        <v>360918.93582435034</v>
      </c>
    </row>
    <row r="86" spans="1:7">
      <c r="A86" s="142">
        <v>76</v>
      </c>
      <c r="B86" s="254">
        <v>42582</v>
      </c>
      <c r="C86" s="284">
        <f t="shared" si="5"/>
        <v>360918.93582435034</v>
      </c>
      <c r="D86" s="284">
        <f t="shared" si="6"/>
        <v>2271.1560053880094</v>
      </c>
      <c r="E86" s="284">
        <f t="shared" si="7"/>
        <v>1654.211789194939</v>
      </c>
      <c r="F86" s="284">
        <f t="shared" si="8"/>
        <v>616.94421619307036</v>
      </c>
      <c r="G86" s="284">
        <f t="shared" si="9"/>
        <v>360301.99160815729</v>
      </c>
    </row>
    <row r="87" spans="1:7">
      <c r="A87" s="142">
        <v>77</v>
      </c>
      <c r="B87" s="254">
        <v>42613</v>
      </c>
      <c r="C87" s="284">
        <f t="shared" si="5"/>
        <v>360301.99160815729</v>
      </c>
      <c r="D87" s="284">
        <f t="shared" si="6"/>
        <v>2271.1560053880094</v>
      </c>
      <c r="E87" s="284">
        <f t="shared" si="7"/>
        <v>1651.3841282040542</v>
      </c>
      <c r="F87" s="284">
        <f t="shared" si="8"/>
        <v>619.77187718395521</v>
      </c>
      <c r="G87" s="284">
        <f t="shared" si="9"/>
        <v>359682.21973097336</v>
      </c>
    </row>
    <row r="88" spans="1:7">
      <c r="A88" s="142">
        <v>78</v>
      </c>
      <c r="B88" s="254">
        <v>42643</v>
      </c>
      <c r="C88" s="284">
        <f t="shared" si="5"/>
        <v>359682.21973097336</v>
      </c>
      <c r="D88" s="284">
        <f t="shared" si="6"/>
        <v>2271.1560053880094</v>
      </c>
      <c r="E88" s="284">
        <f t="shared" si="7"/>
        <v>1648.5435071002946</v>
      </c>
      <c r="F88" s="284">
        <f t="shared" si="8"/>
        <v>622.61249828771474</v>
      </c>
      <c r="G88" s="284">
        <f t="shared" si="9"/>
        <v>359059.60723268567</v>
      </c>
    </row>
    <row r="89" spans="1:7">
      <c r="A89" s="142">
        <v>79</v>
      </c>
      <c r="B89" s="254">
        <v>42674</v>
      </c>
      <c r="C89" s="284">
        <f t="shared" si="5"/>
        <v>359059.60723268567</v>
      </c>
      <c r="D89" s="284">
        <f t="shared" si="6"/>
        <v>2271.1560053880094</v>
      </c>
      <c r="E89" s="284">
        <f t="shared" si="7"/>
        <v>1645.6898664831426</v>
      </c>
      <c r="F89" s="284">
        <f t="shared" si="8"/>
        <v>625.46613890486674</v>
      </c>
      <c r="G89" s="284">
        <f t="shared" si="9"/>
        <v>358434.14109378081</v>
      </c>
    </row>
    <row r="90" spans="1:7">
      <c r="A90" s="142">
        <v>80</v>
      </c>
      <c r="B90" s="254">
        <v>42704</v>
      </c>
      <c r="C90" s="284">
        <f t="shared" si="5"/>
        <v>358434.14109378081</v>
      </c>
      <c r="D90" s="284">
        <f t="shared" si="6"/>
        <v>2271.1560053880094</v>
      </c>
      <c r="E90" s="284">
        <f t="shared" si="7"/>
        <v>1642.8231466798288</v>
      </c>
      <c r="F90" s="284">
        <f t="shared" si="8"/>
        <v>628.33285870818054</v>
      </c>
      <c r="G90" s="284">
        <f t="shared" si="9"/>
        <v>357805.80823507265</v>
      </c>
    </row>
    <row r="91" spans="1:7">
      <c r="A91" s="142">
        <v>81</v>
      </c>
      <c r="B91" s="254">
        <v>42735</v>
      </c>
      <c r="C91" s="284">
        <f t="shared" si="5"/>
        <v>357805.80823507265</v>
      </c>
      <c r="D91" s="284">
        <f t="shared" si="6"/>
        <v>2271.1560053880094</v>
      </c>
      <c r="E91" s="284">
        <f t="shared" si="7"/>
        <v>1639.9432877440829</v>
      </c>
      <c r="F91" s="284">
        <f t="shared" si="8"/>
        <v>631.21271764392645</v>
      </c>
      <c r="G91" s="284">
        <f t="shared" si="9"/>
        <v>357174.59551742871</v>
      </c>
    </row>
    <row r="92" spans="1:7">
      <c r="A92" s="142">
        <v>82</v>
      </c>
      <c r="B92" s="254">
        <v>42766</v>
      </c>
      <c r="C92" s="284">
        <f t="shared" si="5"/>
        <v>357174.59551742871</v>
      </c>
      <c r="D92" s="284">
        <f t="shared" si="6"/>
        <v>2271.1560053880094</v>
      </c>
      <c r="E92" s="284">
        <f t="shared" si="7"/>
        <v>1637.0502294548814</v>
      </c>
      <c r="F92" s="284">
        <f t="shared" si="8"/>
        <v>634.10577593312792</v>
      </c>
      <c r="G92" s="284">
        <f t="shared" si="9"/>
        <v>356540.48974149558</v>
      </c>
    </row>
    <row r="93" spans="1:7">
      <c r="A93" s="142">
        <v>83</v>
      </c>
      <c r="B93" s="254">
        <v>42794</v>
      </c>
      <c r="C93" s="284">
        <f t="shared" si="5"/>
        <v>356540.48974149558</v>
      </c>
      <c r="D93" s="284">
        <f t="shared" si="6"/>
        <v>2271.1560053880094</v>
      </c>
      <c r="E93" s="284">
        <f t="shared" si="7"/>
        <v>1634.143911315188</v>
      </c>
      <c r="F93" s="284">
        <f t="shared" si="8"/>
        <v>637.01209407282136</v>
      </c>
      <c r="G93" s="284">
        <f t="shared" si="9"/>
        <v>355903.47764742275</v>
      </c>
    </row>
    <row r="94" spans="1:7">
      <c r="A94" s="142">
        <v>84</v>
      </c>
      <c r="B94" s="254">
        <v>42825</v>
      </c>
      <c r="C94" s="284">
        <f t="shared" si="5"/>
        <v>355903.47764742275</v>
      </c>
      <c r="D94" s="284">
        <f t="shared" si="6"/>
        <v>2271.1560053880094</v>
      </c>
      <c r="E94" s="284">
        <f t="shared" si="7"/>
        <v>1631.2242725506876</v>
      </c>
      <c r="F94" s="284">
        <f t="shared" si="8"/>
        <v>639.93173283732176</v>
      </c>
      <c r="G94" s="284">
        <f t="shared" si="9"/>
        <v>355263.54591458541</v>
      </c>
    </row>
    <row r="95" spans="1:7">
      <c r="A95" s="142">
        <v>85</v>
      </c>
      <c r="B95" s="254">
        <v>42855</v>
      </c>
      <c r="C95" s="284">
        <f t="shared" si="5"/>
        <v>355263.54591458541</v>
      </c>
      <c r="D95" s="284">
        <f t="shared" si="6"/>
        <v>2271.1560053880094</v>
      </c>
      <c r="E95" s="284">
        <f t="shared" si="7"/>
        <v>1628.2912521085163</v>
      </c>
      <c r="F95" s="284">
        <f t="shared" si="8"/>
        <v>642.86475327949302</v>
      </c>
      <c r="G95" s="284">
        <f t="shared" si="9"/>
        <v>354620.68116130593</v>
      </c>
    </row>
    <row r="96" spans="1:7">
      <c r="A96" s="142">
        <v>86</v>
      </c>
      <c r="B96" s="254">
        <v>42886</v>
      </c>
      <c r="C96" s="284">
        <f t="shared" si="5"/>
        <v>354620.68116130593</v>
      </c>
      <c r="D96" s="284">
        <f t="shared" si="6"/>
        <v>2271.1560053880094</v>
      </c>
      <c r="E96" s="284">
        <f t="shared" si="7"/>
        <v>1625.3447886559854</v>
      </c>
      <c r="F96" s="284">
        <f t="shared" si="8"/>
        <v>645.81121673202392</v>
      </c>
      <c r="G96" s="284">
        <f t="shared" si="9"/>
        <v>353974.8699445739</v>
      </c>
    </row>
    <row r="97" spans="1:7">
      <c r="A97" s="142">
        <v>87</v>
      </c>
      <c r="B97" s="254">
        <v>42916</v>
      </c>
      <c r="C97" s="284">
        <f t="shared" si="5"/>
        <v>353974.8699445739</v>
      </c>
      <c r="D97" s="284">
        <f t="shared" si="6"/>
        <v>2271.1560053880094</v>
      </c>
      <c r="E97" s="284">
        <f t="shared" si="7"/>
        <v>1622.3848205792972</v>
      </c>
      <c r="F97" s="284">
        <f t="shared" si="8"/>
        <v>648.77118480871218</v>
      </c>
      <c r="G97" s="284">
        <f t="shared" si="9"/>
        <v>353326.09875976521</v>
      </c>
    </row>
    <row r="98" spans="1:7">
      <c r="A98" s="142">
        <v>88</v>
      </c>
      <c r="B98" s="254">
        <v>42947</v>
      </c>
      <c r="C98" s="284">
        <f t="shared" si="5"/>
        <v>353326.09875976521</v>
      </c>
      <c r="D98" s="284">
        <f t="shared" si="6"/>
        <v>2271.1560053880094</v>
      </c>
      <c r="E98" s="284">
        <f t="shared" si="7"/>
        <v>1619.4112859822571</v>
      </c>
      <c r="F98" s="284">
        <f t="shared" si="8"/>
        <v>651.74471940575222</v>
      </c>
      <c r="G98" s="284">
        <f t="shared" si="9"/>
        <v>352674.35404035944</v>
      </c>
    </row>
    <row r="99" spans="1:7">
      <c r="A99" s="142">
        <v>89</v>
      </c>
      <c r="B99" s="254">
        <v>42978</v>
      </c>
      <c r="C99" s="284">
        <f t="shared" si="5"/>
        <v>352674.35404035944</v>
      </c>
      <c r="D99" s="284">
        <f t="shared" si="6"/>
        <v>2271.1560053880094</v>
      </c>
      <c r="E99" s="284">
        <f t="shared" si="7"/>
        <v>1616.4241226849808</v>
      </c>
      <c r="F99" s="284">
        <f t="shared" si="8"/>
        <v>654.73188270302853</v>
      </c>
      <c r="G99" s="284">
        <f t="shared" si="9"/>
        <v>352019.62215765641</v>
      </c>
    </row>
    <row r="100" spans="1:7">
      <c r="A100" s="142">
        <v>90</v>
      </c>
      <c r="B100" s="254">
        <v>43008</v>
      </c>
      <c r="C100" s="284">
        <f t="shared" si="5"/>
        <v>352019.62215765641</v>
      </c>
      <c r="D100" s="284">
        <f t="shared" si="6"/>
        <v>2271.1560053880094</v>
      </c>
      <c r="E100" s="284">
        <f t="shared" si="7"/>
        <v>1613.423268222592</v>
      </c>
      <c r="F100" s="284">
        <f t="shared" si="8"/>
        <v>657.73273716541735</v>
      </c>
      <c r="G100" s="284">
        <f t="shared" si="9"/>
        <v>351361.889420491</v>
      </c>
    </row>
    <row r="101" spans="1:7">
      <c r="A101" s="142">
        <v>91</v>
      </c>
      <c r="B101" s="254">
        <v>43039</v>
      </c>
      <c r="C101" s="284">
        <f t="shared" si="5"/>
        <v>351361.889420491</v>
      </c>
      <c r="D101" s="284">
        <f t="shared" si="6"/>
        <v>2271.1560053880094</v>
      </c>
      <c r="E101" s="284">
        <f t="shared" si="7"/>
        <v>1610.4086598439171</v>
      </c>
      <c r="F101" s="284">
        <f t="shared" si="8"/>
        <v>660.74734554409224</v>
      </c>
      <c r="G101" s="284">
        <f t="shared" si="9"/>
        <v>350701.1420749469</v>
      </c>
    </row>
    <row r="102" spans="1:7">
      <c r="A102" s="142">
        <v>92</v>
      </c>
      <c r="B102" s="254">
        <v>43069</v>
      </c>
      <c r="C102" s="284">
        <f t="shared" si="5"/>
        <v>350701.1420749469</v>
      </c>
      <c r="D102" s="284">
        <f t="shared" si="6"/>
        <v>2271.1560053880094</v>
      </c>
      <c r="E102" s="284">
        <f t="shared" si="7"/>
        <v>1607.3802345101733</v>
      </c>
      <c r="F102" s="284">
        <f t="shared" si="8"/>
        <v>663.77577087783607</v>
      </c>
      <c r="G102" s="284">
        <f t="shared" si="9"/>
        <v>350037.36630406906</v>
      </c>
    </row>
    <row r="103" spans="1:7">
      <c r="A103" s="142">
        <v>93</v>
      </c>
      <c r="B103" s="254">
        <v>43100</v>
      </c>
      <c r="C103" s="284">
        <f t="shared" si="5"/>
        <v>350037.36630406906</v>
      </c>
      <c r="D103" s="284">
        <f t="shared" si="6"/>
        <v>2271.1560053880094</v>
      </c>
      <c r="E103" s="284">
        <f t="shared" si="7"/>
        <v>1604.3379288936501</v>
      </c>
      <c r="F103" s="284">
        <f t="shared" si="8"/>
        <v>666.81807649435927</v>
      </c>
      <c r="G103" s="284">
        <f t="shared" si="9"/>
        <v>349370.54822757468</v>
      </c>
    </row>
    <row r="104" spans="1:7">
      <c r="A104" s="142">
        <v>94</v>
      </c>
      <c r="B104" s="254">
        <v>43131</v>
      </c>
      <c r="C104" s="284">
        <f t="shared" si="5"/>
        <v>349370.54822757468</v>
      </c>
      <c r="D104" s="284">
        <f t="shared" si="6"/>
        <v>2271.1560053880094</v>
      </c>
      <c r="E104" s="284">
        <f t="shared" si="7"/>
        <v>1601.2816793763841</v>
      </c>
      <c r="F104" s="284">
        <f t="shared" si="8"/>
        <v>669.87432601162527</v>
      </c>
      <c r="G104" s="284">
        <f t="shared" si="9"/>
        <v>348700.67390156304</v>
      </c>
    </row>
    <row r="105" spans="1:7">
      <c r="A105" s="142">
        <v>95</v>
      </c>
      <c r="B105" s="254">
        <v>43159</v>
      </c>
      <c r="C105" s="284">
        <f t="shared" si="5"/>
        <v>348700.67390156304</v>
      </c>
      <c r="D105" s="284">
        <f t="shared" si="6"/>
        <v>2271.1560053880094</v>
      </c>
      <c r="E105" s="284">
        <f t="shared" si="7"/>
        <v>1598.2114220488309</v>
      </c>
      <c r="F105" s="284">
        <f t="shared" si="8"/>
        <v>672.94458333917851</v>
      </c>
      <c r="G105" s="284">
        <f t="shared" si="9"/>
        <v>348027.72931822389</v>
      </c>
    </row>
    <row r="106" spans="1:7">
      <c r="A106" s="142">
        <v>96</v>
      </c>
      <c r="B106" s="254">
        <v>43190</v>
      </c>
      <c r="C106" s="284">
        <f t="shared" si="5"/>
        <v>348027.72931822389</v>
      </c>
      <c r="D106" s="284">
        <f t="shared" si="6"/>
        <v>2271.1560053880094</v>
      </c>
      <c r="E106" s="284">
        <f t="shared" si="7"/>
        <v>1595.1270927085261</v>
      </c>
      <c r="F106" s="284">
        <f t="shared" si="8"/>
        <v>676.02891267948326</v>
      </c>
      <c r="G106" s="284">
        <f t="shared" si="9"/>
        <v>347351.70040554443</v>
      </c>
    </row>
    <row r="107" spans="1:7">
      <c r="A107" s="142">
        <v>97</v>
      </c>
      <c r="B107" s="254">
        <v>43220</v>
      </c>
      <c r="C107" s="284">
        <f t="shared" si="5"/>
        <v>347351.70040554443</v>
      </c>
      <c r="D107" s="284">
        <f t="shared" si="6"/>
        <v>2271.1560053880094</v>
      </c>
      <c r="E107" s="284">
        <f t="shared" si="7"/>
        <v>1592.0286268587452</v>
      </c>
      <c r="F107" s="284">
        <f t="shared" si="8"/>
        <v>679.12737852926421</v>
      </c>
      <c r="G107" s="284">
        <f t="shared" si="9"/>
        <v>346672.57302701514</v>
      </c>
    </row>
    <row r="108" spans="1:7">
      <c r="A108" s="142">
        <v>98</v>
      </c>
      <c r="B108" s="254">
        <v>43251</v>
      </c>
      <c r="C108" s="284">
        <f t="shared" si="5"/>
        <v>346672.57302701514</v>
      </c>
      <c r="D108" s="284">
        <f t="shared" si="6"/>
        <v>2271.1560053880094</v>
      </c>
      <c r="E108" s="284">
        <f t="shared" si="7"/>
        <v>1588.9159597071528</v>
      </c>
      <c r="F108" s="284">
        <f t="shared" si="8"/>
        <v>682.24004568085661</v>
      </c>
      <c r="G108" s="284">
        <f t="shared" si="9"/>
        <v>345990.3329813343</v>
      </c>
    </row>
    <row r="109" spans="1:7">
      <c r="A109" s="142">
        <v>99</v>
      </c>
      <c r="B109" s="254">
        <v>43281</v>
      </c>
      <c r="C109" s="284">
        <f t="shared" si="5"/>
        <v>345990.3329813343</v>
      </c>
      <c r="D109" s="284">
        <f t="shared" si="6"/>
        <v>2271.1560053880094</v>
      </c>
      <c r="E109" s="284">
        <f t="shared" si="7"/>
        <v>1585.7890261644488</v>
      </c>
      <c r="F109" s="284">
        <f t="shared" si="8"/>
        <v>685.36697922356052</v>
      </c>
      <c r="G109" s="284">
        <f t="shared" si="9"/>
        <v>345304.96600211074</v>
      </c>
    </row>
    <row r="110" spans="1:7">
      <c r="A110" s="142">
        <v>100</v>
      </c>
      <c r="B110" s="254">
        <v>43312</v>
      </c>
      <c r="C110" s="284">
        <f t="shared" si="5"/>
        <v>345304.96600211074</v>
      </c>
      <c r="D110" s="284">
        <f t="shared" si="6"/>
        <v>2271.1560053880094</v>
      </c>
      <c r="E110" s="284">
        <f t="shared" si="7"/>
        <v>1582.6477608430075</v>
      </c>
      <c r="F110" s="284">
        <f t="shared" si="8"/>
        <v>688.50824454500184</v>
      </c>
      <c r="G110" s="284">
        <f t="shared" si="9"/>
        <v>344616.45775756572</v>
      </c>
    </row>
    <row r="111" spans="1:7">
      <c r="A111" s="142">
        <v>101</v>
      </c>
      <c r="B111" s="254">
        <v>43343</v>
      </c>
      <c r="C111" s="284">
        <f t="shared" si="5"/>
        <v>344616.45775756572</v>
      </c>
      <c r="D111" s="284">
        <f t="shared" si="6"/>
        <v>2271.1560053880094</v>
      </c>
      <c r="E111" s="284">
        <f t="shared" si="7"/>
        <v>1579.4920980555096</v>
      </c>
      <c r="F111" s="284">
        <f t="shared" si="8"/>
        <v>691.66390733249978</v>
      </c>
      <c r="G111" s="284">
        <f t="shared" si="9"/>
        <v>343924.7938502332</v>
      </c>
    </row>
    <row r="112" spans="1:7">
      <c r="A112" s="142">
        <v>102</v>
      </c>
      <c r="B112" s="254">
        <v>43373</v>
      </c>
      <c r="C112" s="284">
        <f t="shared" si="5"/>
        <v>343924.7938502332</v>
      </c>
      <c r="D112" s="284">
        <f t="shared" si="6"/>
        <v>2271.1560053880094</v>
      </c>
      <c r="E112" s="284">
        <f t="shared" si="7"/>
        <v>1576.3219718135688</v>
      </c>
      <c r="F112" s="284">
        <f t="shared" si="8"/>
        <v>694.83403357444058</v>
      </c>
      <c r="G112" s="284">
        <f t="shared" si="9"/>
        <v>343229.95981665875</v>
      </c>
    </row>
    <row r="113" spans="1:7">
      <c r="A113" s="142">
        <v>103</v>
      </c>
      <c r="B113" s="254">
        <v>43404</v>
      </c>
      <c r="C113" s="284">
        <f t="shared" si="5"/>
        <v>343229.95981665875</v>
      </c>
      <c r="D113" s="284">
        <f t="shared" si="6"/>
        <v>2271.1560053880094</v>
      </c>
      <c r="E113" s="284">
        <f t="shared" si="7"/>
        <v>1573.1373158263525</v>
      </c>
      <c r="F113" s="284">
        <f t="shared" si="8"/>
        <v>698.01868956165686</v>
      </c>
      <c r="G113" s="284">
        <f t="shared" si="9"/>
        <v>342531.94112709712</v>
      </c>
    </row>
    <row r="114" spans="1:7">
      <c r="A114" s="142">
        <v>104</v>
      </c>
      <c r="B114" s="254">
        <v>43434</v>
      </c>
      <c r="C114" s="284">
        <f t="shared" si="5"/>
        <v>342531.94112709712</v>
      </c>
      <c r="D114" s="284">
        <f t="shared" si="6"/>
        <v>2271.1560053880094</v>
      </c>
      <c r="E114" s="284">
        <f t="shared" si="7"/>
        <v>1569.9380634991951</v>
      </c>
      <c r="F114" s="284">
        <f t="shared" si="8"/>
        <v>701.21794188881427</v>
      </c>
      <c r="G114" s="284">
        <f t="shared" si="9"/>
        <v>341830.72318520828</v>
      </c>
    </row>
    <row r="115" spans="1:7">
      <c r="A115" s="142">
        <v>105</v>
      </c>
      <c r="B115" s="254">
        <v>43465</v>
      </c>
      <c r="C115" s="284">
        <f t="shared" si="5"/>
        <v>341830.72318520828</v>
      </c>
      <c r="D115" s="284">
        <f t="shared" si="6"/>
        <v>2271.1560053880094</v>
      </c>
      <c r="E115" s="284">
        <f t="shared" si="7"/>
        <v>1566.7241479322047</v>
      </c>
      <c r="F115" s="284">
        <f t="shared" si="8"/>
        <v>704.43185745580467</v>
      </c>
      <c r="G115" s="284">
        <f t="shared" si="9"/>
        <v>341126.29132775246</v>
      </c>
    </row>
    <row r="116" spans="1:7">
      <c r="A116" s="142">
        <v>106</v>
      </c>
      <c r="B116" s="254">
        <v>43496</v>
      </c>
      <c r="C116" s="284">
        <f t="shared" si="5"/>
        <v>341126.29132775246</v>
      </c>
      <c r="D116" s="284">
        <f t="shared" si="6"/>
        <v>2271.1560053880094</v>
      </c>
      <c r="E116" s="284">
        <f t="shared" si="7"/>
        <v>1563.4955019188656</v>
      </c>
      <c r="F116" s="284">
        <f t="shared" si="8"/>
        <v>707.6605034691438</v>
      </c>
      <c r="G116" s="284">
        <f t="shared" si="9"/>
        <v>340418.63082428335</v>
      </c>
    </row>
    <row r="117" spans="1:7">
      <c r="A117" s="142">
        <v>107</v>
      </c>
      <c r="B117" s="254">
        <v>43524</v>
      </c>
      <c r="C117" s="284">
        <f t="shared" si="5"/>
        <v>340418.63082428335</v>
      </c>
      <c r="D117" s="284">
        <f t="shared" si="6"/>
        <v>2271.1560053880094</v>
      </c>
      <c r="E117" s="284">
        <f t="shared" si="7"/>
        <v>1560.252057944632</v>
      </c>
      <c r="F117" s="284">
        <f t="shared" si="8"/>
        <v>710.90394744337732</v>
      </c>
      <c r="G117" s="284">
        <f t="shared" si="9"/>
        <v>339707.72687684</v>
      </c>
    </row>
    <row r="118" spans="1:7">
      <c r="A118" s="142">
        <v>108</v>
      </c>
      <c r="B118" s="254">
        <v>43555</v>
      </c>
      <c r="C118" s="284">
        <f t="shared" si="5"/>
        <v>339707.72687684</v>
      </c>
      <c r="D118" s="284">
        <f t="shared" si="6"/>
        <v>2271.1560053880094</v>
      </c>
      <c r="E118" s="284">
        <f t="shared" si="7"/>
        <v>1556.9937481855168</v>
      </c>
      <c r="F118" s="284">
        <f t="shared" si="8"/>
        <v>714.16225720249258</v>
      </c>
      <c r="G118" s="284">
        <f t="shared" si="9"/>
        <v>338993.5646196375</v>
      </c>
    </row>
    <row r="119" spans="1:7">
      <c r="A119" s="142">
        <v>109</v>
      </c>
      <c r="B119" s="254">
        <v>43585</v>
      </c>
      <c r="C119" s="284">
        <f t="shared" si="5"/>
        <v>338993.5646196375</v>
      </c>
      <c r="D119" s="284">
        <f t="shared" si="6"/>
        <v>2271.1560053880094</v>
      </c>
      <c r="E119" s="284">
        <f t="shared" si="7"/>
        <v>1553.7205045066719</v>
      </c>
      <c r="F119" s="284">
        <f t="shared" si="8"/>
        <v>717.43550088133748</v>
      </c>
      <c r="G119" s="284">
        <f t="shared" si="9"/>
        <v>338276.12911875616</v>
      </c>
    </row>
    <row r="120" spans="1:7">
      <c r="A120" s="142">
        <v>110</v>
      </c>
      <c r="B120" s="254">
        <v>43616</v>
      </c>
      <c r="C120" s="284">
        <f t="shared" si="5"/>
        <v>338276.12911875616</v>
      </c>
      <c r="D120" s="284">
        <f t="shared" si="6"/>
        <v>2271.1560053880094</v>
      </c>
      <c r="E120" s="284">
        <f t="shared" si="7"/>
        <v>1550.4322584609656</v>
      </c>
      <c r="F120" s="284">
        <f t="shared" si="8"/>
        <v>720.72374692704375</v>
      </c>
      <c r="G120" s="284">
        <f t="shared" si="9"/>
        <v>337555.40537182911</v>
      </c>
    </row>
    <row r="121" spans="1:7">
      <c r="A121" s="142">
        <v>111</v>
      </c>
      <c r="B121" s="254">
        <v>43646</v>
      </c>
      <c r="C121" s="284">
        <f t="shared" si="5"/>
        <v>337555.40537182911</v>
      </c>
      <c r="D121" s="284">
        <f t="shared" si="6"/>
        <v>2271.1560053880094</v>
      </c>
      <c r="E121" s="284">
        <f t="shared" si="7"/>
        <v>1547.1289412875501</v>
      </c>
      <c r="F121" s="284">
        <f t="shared" si="8"/>
        <v>724.02706410045926</v>
      </c>
      <c r="G121" s="284">
        <f t="shared" si="9"/>
        <v>336831.37830772868</v>
      </c>
    </row>
    <row r="122" spans="1:7">
      <c r="A122" s="142">
        <v>112</v>
      </c>
      <c r="B122" s="254">
        <v>43677</v>
      </c>
      <c r="C122" s="284">
        <f t="shared" si="5"/>
        <v>336831.37830772868</v>
      </c>
      <c r="D122" s="284">
        <f t="shared" si="6"/>
        <v>2271.1560053880094</v>
      </c>
      <c r="E122" s="284">
        <f t="shared" si="7"/>
        <v>1543.8104839104233</v>
      </c>
      <c r="F122" s="284">
        <f t="shared" si="8"/>
        <v>727.34552147758609</v>
      </c>
      <c r="G122" s="284">
        <f t="shared" si="9"/>
        <v>336104.0327862511</v>
      </c>
    </row>
    <row r="123" spans="1:7">
      <c r="A123" s="142">
        <v>113</v>
      </c>
      <c r="B123" s="254">
        <v>43708</v>
      </c>
      <c r="C123" s="284">
        <f t="shared" si="5"/>
        <v>336104.0327862511</v>
      </c>
      <c r="D123" s="284">
        <f t="shared" si="6"/>
        <v>2271.1560053880094</v>
      </c>
      <c r="E123" s="284">
        <f t="shared" si="7"/>
        <v>1540.4768169369843</v>
      </c>
      <c r="F123" s="284">
        <f t="shared" si="8"/>
        <v>730.67918845102508</v>
      </c>
      <c r="G123" s="284">
        <f t="shared" si="9"/>
        <v>335373.35359780007</v>
      </c>
    </row>
    <row r="124" spans="1:7">
      <c r="A124" s="142">
        <v>114</v>
      </c>
      <c r="B124" s="254">
        <v>43738</v>
      </c>
      <c r="C124" s="284">
        <f t="shared" si="5"/>
        <v>335373.35359780007</v>
      </c>
      <c r="D124" s="284">
        <f t="shared" si="6"/>
        <v>2271.1560053880094</v>
      </c>
      <c r="E124" s="284">
        <f t="shared" si="7"/>
        <v>1537.1278706565836</v>
      </c>
      <c r="F124" s="284">
        <f t="shared" si="8"/>
        <v>734.02813473142578</v>
      </c>
      <c r="G124" s="284">
        <f t="shared" si="9"/>
        <v>334639.32546306867</v>
      </c>
    </row>
    <row r="125" spans="1:7">
      <c r="A125" s="142">
        <v>115</v>
      </c>
      <c r="B125" s="254">
        <v>43769</v>
      </c>
      <c r="C125" s="284">
        <f t="shared" si="5"/>
        <v>334639.32546306867</v>
      </c>
      <c r="D125" s="284">
        <f t="shared" si="6"/>
        <v>2271.1560053880094</v>
      </c>
      <c r="E125" s="284">
        <f t="shared" si="7"/>
        <v>1533.7635750390648</v>
      </c>
      <c r="F125" s="284">
        <f t="shared" si="8"/>
        <v>737.39243034894457</v>
      </c>
      <c r="G125" s="284">
        <f t="shared" si="9"/>
        <v>333901.93303271971</v>
      </c>
    </row>
    <row r="126" spans="1:7">
      <c r="A126" s="142">
        <v>116</v>
      </c>
      <c r="B126" s="254">
        <v>43799</v>
      </c>
      <c r="C126" s="284">
        <f t="shared" si="5"/>
        <v>333901.93303271971</v>
      </c>
      <c r="D126" s="284">
        <f t="shared" si="6"/>
        <v>2271.1560053880094</v>
      </c>
      <c r="E126" s="284">
        <f t="shared" si="7"/>
        <v>1530.3838597332988</v>
      </c>
      <c r="F126" s="284">
        <f t="shared" si="8"/>
        <v>740.77214565471058</v>
      </c>
      <c r="G126" s="284">
        <f t="shared" si="9"/>
        <v>333161.16088706499</v>
      </c>
    </row>
    <row r="127" spans="1:7">
      <c r="A127" s="142">
        <v>117</v>
      </c>
      <c r="B127" s="254">
        <v>43830</v>
      </c>
      <c r="C127" s="284">
        <f t="shared" si="5"/>
        <v>333161.16088706499</v>
      </c>
      <c r="D127" s="284">
        <f t="shared" si="6"/>
        <v>2271.1560053880094</v>
      </c>
      <c r="E127" s="284">
        <f t="shared" si="7"/>
        <v>1526.9886540657146</v>
      </c>
      <c r="F127" s="284">
        <f t="shared" si="8"/>
        <v>744.16735132229473</v>
      </c>
      <c r="G127" s="284">
        <f t="shared" si="9"/>
        <v>332416.99353574269</v>
      </c>
    </row>
    <row r="128" spans="1:7">
      <c r="A128" s="142">
        <v>118</v>
      </c>
      <c r="B128" s="254">
        <v>43861</v>
      </c>
      <c r="C128" s="284">
        <f t="shared" si="5"/>
        <v>332416.99353574269</v>
      </c>
      <c r="D128" s="284">
        <f t="shared" si="6"/>
        <v>2271.1560053880094</v>
      </c>
      <c r="E128" s="284">
        <f t="shared" si="7"/>
        <v>1523.5778870388206</v>
      </c>
      <c r="F128" s="284">
        <f t="shared" si="8"/>
        <v>747.5781183491888</v>
      </c>
      <c r="G128" s="284">
        <f t="shared" si="9"/>
        <v>331669.41541739349</v>
      </c>
    </row>
    <row r="129" spans="1:7">
      <c r="A129" s="142">
        <v>119</v>
      </c>
      <c r="B129" s="254">
        <v>43890</v>
      </c>
      <c r="C129" s="284">
        <f t="shared" si="5"/>
        <v>331669.41541739349</v>
      </c>
      <c r="D129" s="284">
        <f t="shared" si="6"/>
        <v>2271.1560053880094</v>
      </c>
      <c r="E129" s="284">
        <f t="shared" si="7"/>
        <v>1520.1514873297201</v>
      </c>
      <c r="F129" s="284">
        <f t="shared" si="8"/>
        <v>751.00451805828925</v>
      </c>
      <c r="G129" s="284">
        <f t="shared" si="9"/>
        <v>330918.41089933523</v>
      </c>
    </row>
    <row r="130" spans="1:7">
      <c r="A130" s="142">
        <v>120</v>
      </c>
      <c r="B130" s="254">
        <v>43921</v>
      </c>
      <c r="C130" s="284">
        <f t="shared" si="5"/>
        <v>330918.41089933523</v>
      </c>
      <c r="D130" s="284">
        <f t="shared" si="6"/>
        <v>2271.1560053880094</v>
      </c>
      <c r="E130" s="284">
        <f t="shared" si="7"/>
        <v>1516.7093832886196</v>
      </c>
      <c r="F130" s="284">
        <f t="shared" si="8"/>
        <v>754.44662209938974</v>
      </c>
      <c r="G130" s="284">
        <f t="shared" si="9"/>
        <v>330163.96427723585</v>
      </c>
    </row>
    <row r="131" spans="1:7">
      <c r="A131" s="142">
        <v>121</v>
      </c>
      <c r="B131" s="254">
        <v>43951</v>
      </c>
      <c r="C131" s="284">
        <f t="shared" si="5"/>
        <v>330163.96427723585</v>
      </c>
      <c r="D131" s="284">
        <f t="shared" si="6"/>
        <v>2271.1560053880094</v>
      </c>
      <c r="E131" s="284">
        <f t="shared" si="7"/>
        <v>1513.251502937331</v>
      </c>
      <c r="F131" s="284">
        <f t="shared" si="8"/>
        <v>757.90450245067836</v>
      </c>
      <c r="G131" s="284">
        <f t="shared" si="9"/>
        <v>329406.05977478519</v>
      </c>
    </row>
    <row r="132" spans="1:7">
      <c r="A132" s="142">
        <v>122</v>
      </c>
      <c r="B132" s="254">
        <v>43982</v>
      </c>
      <c r="C132" s="284">
        <f t="shared" si="5"/>
        <v>329406.05977478519</v>
      </c>
      <c r="D132" s="284">
        <f t="shared" si="6"/>
        <v>2271.1560053880094</v>
      </c>
      <c r="E132" s="284">
        <f t="shared" si="7"/>
        <v>1509.7777739677656</v>
      </c>
      <c r="F132" s="284">
        <f t="shared" si="8"/>
        <v>761.37823142024376</v>
      </c>
      <c r="G132" s="284">
        <f t="shared" si="9"/>
        <v>328644.68154336495</v>
      </c>
    </row>
    <row r="133" spans="1:7">
      <c r="A133" s="142">
        <v>123</v>
      </c>
      <c r="B133" s="254">
        <v>44012</v>
      </c>
      <c r="C133" s="284">
        <f t="shared" si="5"/>
        <v>328644.68154336495</v>
      </c>
      <c r="D133" s="284">
        <f t="shared" si="6"/>
        <v>2271.1560053880094</v>
      </c>
      <c r="E133" s="284">
        <f t="shared" si="7"/>
        <v>1506.2881237404226</v>
      </c>
      <c r="F133" s="284">
        <f t="shared" si="8"/>
        <v>764.86788164758673</v>
      </c>
      <c r="G133" s="284">
        <f t="shared" si="9"/>
        <v>327879.81366171734</v>
      </c>
    </row>
    <row r="134" spans="1:7">
      <c r="A134" s="142">
        <v>124</v>
      </c>
      <c r="B134" s="254">
        <v>44043</v>
      </c>
      <c r="C134" s="284">
        <f t="shared" si="5"/>
        <v>327879.81366171734</v>
      </c>
      <c r="D134" s="284">
        <f t="shared" si="6"/>
        <v>2271.1560053880094</v>
      </c>
      <c r="E134" s="284">
        <f t="shared" si="7"/>
        <v>1502.7824792828712</v>
      </c>
      <c r="F134" s="284">
        <f t="shared" si="8"/>
        <v>768.37352610513813</v>
      </c>
      <c r="G134" s="284">
        <f t="shared" si="9"/>
        <v>327111.44013561221</v>
      </c>
    </row>
    <row r="135" spans="1:7">
      <c r="A135" s="142">
        <v>125</v>
      </c>
      <c r="B135" s="254">
        <v>44074</v>
      </c>
      <c r="C135" s="284">
        <f t="shared" si="5"/>
        <v>327111.44013561221</v>
      </c>
      <c r="D135" s="284">
        <f t="shared" si="6"/>
        <v>2271.1560053880094</v>
      </c>
      <c r="E135" s="284">
        <f t="shared" si="7"/>
        <v>1499.2607672882225</v>
      </c>
      <c r="F135" s="284">
        <f t="shared" si="8"/>
        <v>771.89523809978687</v>
      </c>
      <c r="G135" s="284">
        <f t="shared" si="9"/>
        <v>326339.54489751242</v>
      </c>
    </row>
    <row r="136" spans="1:7">
      <c r="A136" s="142">
        <v>126</v>
      </c>
      <c r="B136" s="254">
        <v>44104</v>
      </c>
      <c r="C136" s="284">
        <f t="shared" si="5"/>
        <v>326339.54489751242</v>
      </c>
      <c r="D136" s="284">
        <f t="shared" si="6"/>
        <v>2271.1560053880094</v>
      </c>
      <c r="E136" s="284">
        <f t="shared" si="7"/>
        <v>1495.7229141135986</v>
      </c>
      <c r="F136" s="284">
        <f t="shared" si="8"/>
        <v>775.4330912744108</v>
      </c>
      <c r="G136" s="284">
        <f t="shared" si="9"/>
        <v>325564.11180623801</v>
      </c>
    </row>
    <row r="137" spans="1:7">
      <c r="A137" s="142">
        <v>127</v>
      </c>
      <c r="B137" s="254">
        <v>44135</v>
      </c>
      <c r="C137" s="284">
        <f t="shared" si="5"/>
        <v>325564.11180623801</v>
      </c>
      <c r="D137" s="284">
        <f t="shared" si="6"/>
        <v>2271.1560053880094</v>
      </c>
      <c r="E137" s="284">
        <f t="shared" si="7"/>
        <v>1492.168845778591</v>
      </c>
      <c r="F137" s="284">
        <f t="shared" si="8"/>
        <v>778.98715960941831</v>
      </c>
      <c r="G137" s="284">
        <f t="shared" si="9"/>
        <v>324785.12464662857</v>
      </c>
    </row>
    <row r="138" spans="1:7">
      <c r="A138" s="142">
        <v>128</v>
      </c>
      <c r="B138" s="254">
        <v>44165</v>
      </c>
      <c r="C138" s="284">
        <f t="shared" si="5"/>
        <v>324785.12464662857</v>
      </c>
      <c r="D138" s="284">
        <f t="shared" si="6"/>
        <v>2271.1560053880094</v>
      </c>
      <c r="E138" s="284">
        <f t="shared" si="7"/>
        <v>1488.5984879637142</v>
      </c>
      <c r="F138" s="284">
        <f t="shared" si="8"/>
        <v>782.55751742429516</v>
      </c>
      <c r="G138" s="284">
        <f t="shared" si="9"/>
        <v>324002.56712920428</v>
      </c>
    </row>
    <row r="139" spans="1:7">
      <c r="A139" s="142">
        <v>129</v>
      </c>
      <c r="B139" s="254">
        <v>44196</v>
      </c>
      <c r="C139" s="284">
        <f t="shared" si="5"/>
        <v>324002.56712920428</v>
      </c>
      <c r="D139" s="284">
        <f t="shared" si="6"/>
        <v>2271.1560053880094</v>
      </c>
      <c r="E139" s="284">
        <f t="shared" si="7"/>
        <v>1485.0117660088529</v>
      </c>
      <c r="F139" s="284">
        <f t="shared" si="8"/>
        <v>786.14423937915649</v>
      </c>
      <c r="G139" s="284">
        <f t="shared" si="9"/>
        <v>323216.42288982513</v>
      </c>
    </row>
    <row r="140" spans="1:7">
      <c r="A140" s="142">
        <v>130</v>
      </c>
      <c r="B140" s="254">
        <v>44227</v>
      </c>
      <c r="C140" s="284">
        <f t="shared" si="5"/>
        <v>323216.42288982513</v>
      </c>
      <c r="D140" s="284">
        <f t="shared" si="6"/>
        <v>2271.1560053880094</v>
      </c>
      <c r="E140" s="284">
        <f t="shared" si="7"/>
        <v>1481.4086049116986</v>
      </c>
      <c r="F140" s="284">
        <f t="shared" si="8"/>
        <v>789.74740047631076</v>
      </c>
      <c r="G140" s="284">
        <f t="shared" si="9"/>
        <v>322426.67548934883</v>
      </c>
    </row>
    <row r="141" spans="1:7">
      <c r="A141" s="142">
        <v>131</v>
      </c>
      <c r="B141" s="254">
        <v>44255</v>
      </c>
      <c r="C141" s="284">
        <f t="shared" ref="C141:C204" si="10">G140</f>
        <v>322426.67548934883</v>
      </c>
      <c r="D141" s="284">
        <f t="shared" ref="D141:D204" si="11">$B$7</f>
        <v>2271.1560053880094</v>
      </c>
      <c r="E141" s="284">
        <f t="shared" ref="E141:E204" si="12">C141*$B$4/12</f>
        <v>1477.7889293261821</v>
      </c>
      <c r="F141" s="284">
        <f t="shared" ref="F141:F204" si="13">D141-E141</f>
        <v>793.36707606182722</v>
      </c>
      <c r="G141" s="284">
        <f t="shared" ref="G141:G204" si="14">C141-F141</f>
        <v>321633.30841328698</v>
      </c>
    </row>
    <row r="142" spans="1:7">
      <c r="A142" s="142">
        <v>132</v>
      </c>
      <c r="B142" s="254">
        <v>44286</v>
      </c>
      <c r="C142" s="284">
        <f t="shared" si="10"/>
        <v>321633.30841328698</v>
      </c>
      <c r="D142" s="284">
        <f t="shared" si="11"/>
        <v>2271.1560053880094</v>
      </c>
      <c r="E142" s="284">
        <f t="shared" si="12"/>
        <v>1474.1526635608986</v>
      </c>
      <c r="F142" s="284">
        <f t="shared" si="13"/>
        <v>797.00334182711072</v>
      </c>
      <c r="G142" s="284">
        <f t="shared" si="14"/>
        <v>320836.30507145985</v>
      </c>
    </row>
    <row r="143" spans="1:7">
      <c r="A143" s="142">
        <v>133</v>
      </c>
      <c r="B143" s="254">
        <v>44316</v>
      </c>
      <c r="C143" s="284">
        <f t="shared" si="10"/>
        <v>320836.30507145985</v>
      </c>
      <c r="D143" s="284">
        <f t="shared" si="11"/>
        <v>2271.1560053880094</v>
      </c>
      <c r="E143" s="284">
        <f t="shared" si="12"/>
        <v>1470.4997315775245</v>
      </c>
      <c r="F143" s="284">
        <f t="shared" si="13"/>
        <v>800.65627381048489</v>
      </c>
      <c r="G143" s="284">
        <f t="shared" si="14"/>
        <v>320035.64879764937</v>
      </c>
    </row>
    <row r="144" spans="1:7">
      <c r="A144" s="142">
        <v>134</v>
      </c>
      <c r="B144" s="254">
        <v>44347</v>
      </c>
      <c r="C144" s="284">
        <f t="shared" si="10"/>
        <v>320035.64879764937</v>
      </c>
      <c r="D144" s="284">
        <f t="shared" si="11"/>
        <v>2271.1560053880094</v>
      </c>
      <c r="E144" s="284">
        <f t="shared" si="12"/>
        <v>1466.8300569892263</v>
      </c>
      <c r="F144" s="284">
        <f t="shared" si="13"/>
        <v>804.32594839878311</v>
      </c>
      <c r="G144" s="284">
        <f t="shared" si="14"/>
        <v>319231.32284925057</v>
      </c>
    </row>
    <row r="145" spans="1:7">
      <c r="A145" s="142">
        <v>135</v>
      </c>
      <c r="B145" s="254">
        <v>44377</v>
      </c>
      <c r="C145" s="284">
        <f t="shared" si="10"/>
        <v>319231.32284925057</v>
      </c>
      <c r="D145" s="284">
        <f t="shared" si="11"/>
        <v>2271.1560053880094</v>
      </c>
      <c r="E145" s="284">
        <f t="shared" si="12"/>
        <v>1463.1435630590652</v>
      </c>
      <c r="F145" s="284">
        <f t="shared" si="13"/>
        <v>808.01244232894419</v>
      </c>
      <c r="G145" s="284">
        <f t="shared" si="14"/>
        <v>318423.31040692161</v>
      </c>
    </row>
    <row r="146" spans="1:7">
      <c r="A146" s="142">
        <v>136</v>
      </c>
      <c r="B146" s="254">
        <v>44408</v>
      </c>
      <c r="C146" s="284">
        <f t="shared" si="10"/>
        <v>318423.31040692161</v>
      </c>
      <c r="D146" s="284">
        <f t="shared" si="11"/>
        <v>2271.1560053880094</v>
      </c>
      <c r="E146" s="284">
        <f t="shared" si="12"/>
        <v>1459.4401726983906</v>
      </c>
      <c r="F146" s="284">
        <f t="shared" si="13"/>
        <v>811.71583268961876</v>
      </c>
      <c r="G146" s="284">
        <f t="shared" si="14"/>
        <v>317611.594574232</v>
      </c>
    </row>
    <row r="147" spans="1:7">
      <c r="A147" s="142">
        <v>137</v>
      </c>
      <c r="B147" s="254">
        <v>44439</v>
      </c>
      <c r="C147" s="284">
        <f t="shared" si="10"/>
        <v>317611.594574232</v>
      </c>
      <c r="D147" s="284">
        <f t="shared" si="11"/>
        <v>2271.1560053880094</v>
      </c>
      <c r="E147" s="284">
        <f t="shared" si="12"/>
        <v>1455.71980846523</v>
      </c>
      <c r="F147" s="284">
        <f t="shared" si="13"/>
        <v>815.43619692277935</v>
      </c>
      <c r="G147" s="284">
        <f t="shared" si="14"/>
        <v>316796.15837730921</v>
      </c>
    </row>
    <row r="148" spans="1:7">
      <c r="A148" s="142">
        <v>138</v>
      </c>
      <c r="B148" s="254">
        <v>44469</v>
      </c>
      <c r="C148" s="284">
        <f t="shared" si="10"/>
        <v>316796.15837730921</v>
      </c>
      <c r="D148" s="284">
        <f t="shared" si="11"/>
        <v>2271.1560053880094</v>
      </c>
      <c r="E148" s="284">
        <f t="shared" si="12"/>
        <v>1451.9823925626672</v>
      </c>
      <c r="F148" s="284">
        <f t="shared" si="13"/>
        <v>819.17361282534216</v>
      </c>
      <c r="G148" s="284">
        <f t="shared" si="14"/>
        <v>315976.98476448387</v>
      </c>
    </row>
    <row r="149" spans="1:7">
      <c r="A149" s="142">
        <v>139</v>
      </c>
      <c r="B149" s="254">
        <v>44500</v>
      </c>
      <c r="C149" s="284">
        <f t="shared" si="10"/>
        <v>315976.98476448387</v>
      </c>
      <c r="D149" s="284">
        <f t="shared" si="11"/>
        <v>2271.1560053880094</v>
      </c>
      <c r="E149" s="284">
        <f t="shared" si="12"/>
        <v>1448.2278468372178</v>
      </c>
      <c r="F149" s="284">
        <f t="shared" si="13"/>
        <v>822.92815855079152</v>
      </c>
      <c r="G149" s="284">
        <f t="shared" si="14"/>
        <v>315154.05660593306</v>
      </c>
    </row>
    <row r="150" spans="1:7">
      <c r="A150" s="142">
        <v>140</v>
      </c>
      <c r="B150" s="254">
        <v>44530</v>
      </c>
      <c r="C150" s="284">
        <f t="shared" si="10"/>
        <v>315154.05660593306</v>
      </c>
      <c r="D150" s="284">
        <f t="shared" si="11"/>
        <v>2271.1560053880094</v>
      </c>
      <c r="E150" s="284">
        <f t="shared" si="12"/>
        <v>1444.4560927771934</v>
      </c>
      <c r="F150" s="284">
        <f t="shared" si="13"/>
        <v>826.699912610816</v>
      </c>
      <c r="G150" s="284">
        <f t="shared" si="14"/>
        <v>314327.35669332225</v>
      </c>
    </row>
    <row r="151" spans="1:7">
      <c r="A151" s="142">
        <v>141</v>
      </c>
      <c r="B151" s="254">
        <v>44561</v>
      </c>
      <c r="C151" s="284">
        <f t="shared" si="10"/>
        <v>314327.35669332225</v>
      </c>
      <c r="D151" s="284">
        <f t="shared" si="11"/>
        <v>2271.1560053880094</v>
      </c>
      <c r="E151" s="284">
        <f t="shared" si="12"/>
        <v>1440.6670515110602</v>
      </c>
      <c r="F151" s="284">
        <f t="shared" si="13"/>
        <v>830.48895387694915</v>
      </c>
      <c r="G151" s="284">
        <f t="shared" si="14"/>
        <v>313496.8677394453</v>
      </c>
    </row>
    <row r="152" spans="1:7">
      <c r="A152" s="142">
        <v>142</v>
      </c>
      <c r="B152" s="254">
        <v>44592</v>
      </c>
      <c r="C152" s="284">
        <f t="shared" si="10"/>
        <v>313496.8677394453</v>
      </c>
      <c r="D152" s="284">
        <f t="shared" si="11"/>
        <v>2271.1560053880094</v>
      </c>
      <c r="E152" s="284">
        <f t="shared" si="12"/>
        <v>1436.8606438057911</v>
      </c>
      <c r="F152" s="284">
        <f t="shared" si="13"/>
        <v>834.29536158221822</v>
      </c>
      <c r="G152" s="284">
        <f t="shared" si="14"/>
        <v>312662.57237786311</v>
      </c>
    </row>
    <row r="153" spans="1:7">
      <c r="A153" s="142">
        <v>143</v>
      </c>
      <c r="B153" s="254">
        <v>44620</v>
      </c>
      <c r="C153" s="284">
        <f t="shared" si="10"/>
        <v>312662.57237786311</v>
      </c>
      <c r="D153" s="284">
        <f t="shared" si="11"/>
        <v>2271.1560053880094</v>
      </c>
      <c r="E153" s="284">
        <f t="shared" si="12"/>
        <v>1433.0367900652061</v>
      </c>
      <c r="F153" s="284">
        <f t="shared" si="13"/>
        <v>838.11921532280326</v>
      </c>
      <c r="G153" s="284">
        <f t="shared" si="14"/>
        <v>311824.45316254033</v>
      </c>
    </row>
    <row r="154" spans="1:7">
      <c r="A154" s="142">
        <v>144</v>
      </c>
      <c r="B154" s="254">
        <v>44651</v>
      </c>
      <c r="C154" s="284">
        <f t="shared" si="10"/>
        <v>311824.45316254033</v>
      </c>
      <c r="D154" s="284">
        <f t="shared" si="11"/>
        <v>2271.1560053880094</v>
      </c>
      <c r="E154" s="284">
        <f t="shared" si="12"/>
        <v>1429.1954103283099</v>
      </c>
      <c r="F154" s="284">
        <f t="shared" si="13"/>
        <v>841.96059505969947</v>
      </c>
      <c r="G154" s="284">
        <f t="shared" si="14"/>
        <v>310982.49256748066</v>
      </c>
    </row>
    <row r="155" spans="1:7">
      <c r="A155" s="142">
        <v>145</v>
      </c>
      <c r="B155" s="254">
        <v>44681</v>
      </c>
      <c r="C155" s="284">
        <f t="shared" si="10"/>
        <v>310982.49256748066</v>
      </c>
      <c r="D155" s="284">
        <f t="shared" si="11"/>
        <v>2271.1560053880094</v>
      </c>
      <c r="E155" s="284">
        <f t="shared" si="12"/>
        <v>1425.3364242676198</v>
      </c>
      <c r="F155" s="284">
        <f t="shared" si="13"/>
        <v>845.81958112038956</v>
      </c>
      <c r="G155" s="284">
        <f t="shared" si="14"/>
        <v>310136.67298636027</v>
      </c>
    </row>
    <row r="156" spans="1:7">
      <c r="A156" s="142">
        <v>146</v>
      </c>
      <c r="B156" s="254">
        <v>44712</v>
      </c>
      <c r="C156" s="284">
        <f t="shared" si="10"/>
        <v>310136.67298636027</v>
      </c>
      <c r="D156" s="284">
        <f t="shared" si="11"/>
        <v>2271.1560053880094</v>
      </c>
      <c r="E156" s="284">
        <f t="shared" si="12"/>
        <v>1421.4597511874845</v>
      </c>
      <c r="F156" s="284">
        <f t="shared" si="13"/>
        <v>849.69625420052489</v>
      </c>
      <c r="G156" s="284">
        <f t="shared" si="14"/>
        <v>309286.97673215973</v>
      </c>
    </row>
    <row r="157" spans="1:7">
      <c r="A157" s="142">
        <v>147</v>
      </c>
      <c r="B157" s="254">
        <v>44742</v>
      </c>
      <c r="C157" s="284">
        <f t="shared" si="10"/>
        <v>309286.97673215973</v>
      </c>
      <c r="D157" s="284">
        <f t="shared" si="11"/>
        <v>2271.1560053880094</v>
      </c>
      <c r="E157" s="284">
        <f t="shared" si="12"/>
        <v>1417.5653100223988</v>
      </c>
      <c r="F157" s="284">
        <f t="shared" si="13"/>
        <v>853.5906953656106</v>
      </c>
      <c r="G157" s="284">
        <f t="shared" si="14"/>
        <v>308433.38603679411</v>
      </c>
    </row>
    <row r="158" spans="1:7">
      <c r="A158" s="142">
        <v>148</v>
      </c>
      <c r="B158" s="254">
        <v>44773</v>
      </c>
      <c r="C158" s="284">
        <f t="shared" si="10"/>
        <v>308433.38603679411</v>
      </c>
      <c r="D158" s="284">
        <f t="shared" si="11"/>
        <v>2271.1560053880094</v>
      </c>
      <c r="E158" s="284">
        <f t="shared" si="12"/>
        <v>1413.6530193353065</v>
      </c>
      <c r="F158" s="284">
        <f t="shared" si="13"/>
        <v>857.50298605270291</v>
      </c>
      <c r="G158" s="284">
        <f t="shared" si="14"/>
        <v>307575.88305074139</v>
      </c>
    </row>
    <row r="159" spans="1:7">
      <c r="A159" s="142">
        <v>149</v>
      </c>
      <c r="B159" s="254">
        <v>44804</v>
      </c>
      <c r="C159" s="284">
        <f t="shared" si="10"/>
        <v>307575.88305074139</v>
      </c>
      <c r="D159" s="284">
        <f t="shared" si="11"/>
        <v>2271.1560053880094</v>
      </c>
      <c r="E159" s="284">
        <f t="shared" si="12"/>
        <v>1409.7227973158981</v>
      </c>
      <c r="F159" s="284">
        <f t="shared" si="13"/>
        <v>861.43320807211126</v>
      </c>
      <c r="G159" s="284">
        <f t="shared" si="14"/>
        <v>306714.4498426693</v>
      </c>
    </row>
    <row r="160" spans="1:7">
      <c r="A160" s="142">
        <v>150</v>
      </c>
      <c r="B160" s="254">
        <v>44834</v>
      </c>
      <c r="C160" s="284">
        <f t="shared" si="10"/>
        <v>306714.4498426693</v>
      </c>
      <c r="D160" s="284">
        <f t="shared" si="11"/>
        <v>2271.1560053880094</v>
      </c>
      <c r="E160" s="284">
        <f t="shared" si="12"/>
        <v>1405.7745617789008</v>
      </c>
      <c r="F160" s="284">
        <f t="shared" si="13"/>
        <v>865.3814436091086</v>
      </c>
      <c r="G160" s="284">
        <f t="shared" si="14"/>
        <v>305849.06839906017</v>
      </c>
    </row>
    <row r="161" spans="1:7">
      <c r="A161" s="142">
        <v>151</v>
      </c>
      <c r="B161" s="254">
        <v>44865</v>
      </c>
      <c r="C161" s="284">
        <f t="shared" si="10"/>
        <v>305849.06839906017</v>
      </c>
      <c r="D161" s="284">
        <f t="shared" si="11"/>
        <v>2271.1560053880094</v>
      </c>
      <c r="E161" s="284">
        <f t="shared" si="12"/>
        <v>1401.808230162359</v>
      </c>
      <c r="F161" s="284">
        <f t="shared" si="13"/>
        <v>869.34777522565037</v>
      </c>
      <c r="G161" s="284">
        <f t="shared" si="14"/>
        <v>304979.72062383452</v>
      </c>
    </row>
    <row r="162" spans="1:7">
      <c r="A162" s="142">
        <v>152</v>
      </c>
      <c r="B162" s="254">
        <v>44895</v>
      </c>
      <c r="C162" s="284">
        <f t="shared" si="10"/>
        <v>304979.72062383452</v>
      </c>
      <c r="D162" s="284">
        <f t="shared" si="11"/>
        <v>2271.1560053880094</v>
      </c>
      <c r="E162" s="284">
        <f t="shared" si="12"/>
        <v>1397.8237195259082</v>
      </c>
      <c r="F162" s="284">
        <f t="shared" si="13"/>
        <v>873.33228586210112</v>
      </c>
      <c r="G162" s="284">
        <f t="shared" si="14"/>
        <v>304106.3883379724</v>
      </c>
    </row>
    <row r="163" spans="1:7">
      <c r="A163" s="142">
        <v>153</v>
      </c>
      <c r="B163" s="254">
        <v>44926</v>
      </c>
      <c r="C163" s="284">
        <f t="shared" si="10"/>
        <v>304106.3883379724</v>
      </c>
      <c r="D163" s="284">
        <f t="shared" si="11"/>
        <v>2271.1560053880094</v>
      </c>
      <c r="E163" s="284">
        <f t="shared" si="12"/>
        <v>1393.8209465490402</v>
      </c>
      <c r="F163" s="284">
        <f t="shared" si="13"/>
        <v>877.33505883896919</v>
      </c>
      <c r="G163" s="284">
        <f t="shared" si="14"/>
        <v>303229.05327913346</v>
      </c>
    </row>
    <row r="164" spans="1:7">
      <c r="A164" s="142">
        <v>154</v>
      </c>
      <c r="B164" s="254">
        <v>44957</v>
      </c>
      <c r="C164" s="284">
        <f t="shared" si="10"/>
        <v>303229.05327913346</v>
      </c>
      <c r="D164" s="284">
        <f t="shared" si="11"/>
        <v>2271.1560053880094</v>
      </c>
      <c r="E164" s="284">
        <f t="shared" si="12"/>
        <v>1389.7998275293619</v>
      </c>
      <c r="F164" s="284">
        <f t="shared" si="13"/>
        <v>881.35617785864747</v>
      </c>
      <c r="G164" s="284">
        <f t="shared" si="14"/>
        <v>302347.6971012748</v>
      </c>
    </row>
    <row r="165" spans="1:7">
      <c r="A165" s="142">
        <v>155</v>
      </c>
      <c r="B165" s="254">
        <v>44985</v>
      </c>
      <c r="C165" s="284">
        <f t="shared" si="10"/>
        <v>302347.6971012748</v>
      </c>
      <c r="D165" s="284">
        <f t="shared" si="11"/>
        <v>2271.1560053880094</v>
      </c>
      <c r="E165" s="284">
        <f t="shared" si="12"/>
        <v>1385.7602783808427</v>
      </c>
      <c r="F165" s="284">
        <f t="shared" si="13"/>
        <v>885.39572700716667</v>
      </c>
      <c r="G165" s="284">
        <f t="shared" si="14"/>
        <v>301462.30137426761</v>
      </c>
    </row>
    <row r="166" spans="1:7">
      <c r="A166" s="142">
        <v>156</v>
      </c>
      <c r="B166" s="254">
        <v>45016</v>
      </c>
      <c r="C166" s="284">
        <f t="shared" si="10"/>
        <v>301462.30137426761</v>
      </c>
      <c r="D166" s="284">
        <f t="shared" si="11"/>
        <v>2271.1560053880094</v>
      </c>
      <c r="E166" s="284">
        <f t="shared" si="12"/>
        <v>1381.7022146320598</v>
      </c>
      <c r="F166" s="284">
        <f t="shared" si="13"/>
        <v>889.45379075594951</v>
      </c>
      <c r="G166" s="284">
        <f t="shared" si="14"/>
        <v>300572.84758351167</v>
      </c>
    </row>
    <row r="167" spans="1:7">
      <c r="A167" s="142">
        <v>157</v>
      </c>
      <c r="B167" s="254">
        <v>45046</v>
      </c>
      <c r="C167" s="284">
        <f t="shared" si="10"/>
        <v>300572.84758351167</v>
      </c>
      <c r="D167" s="284">
        <f t="shared" si="11"/>
        <v>2271.1560053880094</v>
      </c>
      <c r="E167" s="284">
        <f t="shared" si="12"/>
        <v>1377.6255514244285</v>
      </c>
      <c r="F167" s="284">
        <f t="shared" si="13"/>
        <v>893.53045396358084</v>
      </c>
      <c r="G167" s="284">
        <f t="shared" si="14"/>
        <v>299679.31712954812</v>
      </c>
    </row>
    <row r="168" spans="1:7">
      <c r="A168" s="142">
        <v>158</v>
      </c>
      <c r="B168" s="254">
        <v>45077</v>
      </c>
      <c r="C168" s="284">
        <f t="shared" si="10"/>
        <v>299679.31712954812</v>
      </c>
      <c r="D168" s="284">
        <f t="shared" si="11"/>
        <v>2271.1560053880094</v>
      </c>
      <c r="E168" s="284">
        <f t="shared" si="12"/>
        <v>1373.5302035104289</v>
      </c>
      <c r="F168" s="284">
        <f t="shared" si="13"/>
        <v>897.62580187758044</v>
      </c>
      <c r="G168" s="284">
        <f t="shared" si="14"/>
        <v>298781.69132767053</v>
      </c>
    </row>
    <row r="169" spans="1:7">
      <c r="A169" s="142">
        <v>159</v>
      </c>
      <c r="B169" s="254">
        <v>45107</v>
      </c>
      <c r="C169" s="284">
        <f t="shared" si="10"/>
        <v>298781.69132767053</v>
      </c>
      <c r="D169" s="284">
        <f t="shared" si="11"/>
        <v>2271.1560053880094</v>
      </c>
      <c r="E169" s="284">
        <f t="shared" si="12"/>
        <v>1369.4160852518232</v>
      </c>
      <c r="F169" s="284">
        <f t="shared" si="13"/>
        <v>901.73992013618613</v>
      </c>
      <c r="G169" s="284">
        <f t="shared" si="14"/>
        <v>297879.95140753436</v>
      </c>
    </row>
    <row r="170" spans="1:7">
      <c r="A170" s="142">
        <v>160</v>
      </c>
      <c r="B170" s="254">
        <v>45138</v>
      </c>
      <c r="C170" s="284">
        <f t="shared" si="10"/>
        <v>297879.95140753436</v>
      </c>
      <c r="D170" s="284">
        <f t="shared" si="11"/>
        <v>2271.1560053880094</v>
      </c>
      <c r="E170" s="284">
        <f t="shared" si="12"/>
        <v>1365.2831106178658</v>
      </c>
      <c r="F170" s="284">
        <f t="shared" si="13"/>
        <v>905.8728947701436</v>
      </c>
      <c r="G170" s="284">
        <f t="shared" si="14"/>
        <v>296974.07851276424</v>
      </c>
    </row>
    <row r="171" spans="1:7">
      <c r="A171" s="142">
        <v>161</v>
      </c>
      <c r="B171" s="254">
        <v>45169</v>
      </c>
      <c r="C171" s="284">
        <f t="shared" si="10"/>
        <v>296974.07851276424</v>
      </c>
      <c r="D171" s="284">
        <f t="shared" si="11"/>
        <v>2271.1560053880094</v>
      </c>
      <c r="E171" s="284">
        <f t="shared" si="12"/>
        <v>1361.1311931835028</v>
      </c>
      <c r="F171" s="284">
        <f t="shared" si="13"/>
        <v>910.02481220450659</v>
      </c>
      <c r="G171" s="284">
        <f t="shared" si="14"/>
        <v>296064.05370055971</v>
      </c>
    </row>
    <row r="172" spans="1:7">
      <c r="A172" s="142">
        <v>162</v>
      </c>
      <c r="B172" s="254">
        <v>45199</v>
      </c>
      <c r="C172" s="284">
        <f t="shared" si="10"/>
        <v>296064.05370055971</v>
      </c>
      <c r="D172" s="284">
        <f t="shared" si="11"/>
        <v>2271.1560053880094</v>
      </c>
      <c r="E172" s="284">
        <f t="shared" si="12"/>
        <v>1356.9602461275654</v>
      </c>
      <c r="F172" s="284">
        <f t="shared" si="13"/>
        <v>914.19575926044399</v>
      </c>
      <c r="G172" s="284">
        <f t="shared" si="14"/>
        <v>295149.85794129927</v>
      </c>
    </row>
    <row r="173" spans="1:7">
      <c r="A173" s="142">
        <v>163</v>
      </c>
      <c r="B173" s="254">
        <v>45230</v>
      </c>
      <c r="C173" s="284">
        <f t="shared" si="10"/>
        <v>295149.85794129927</v>
      </c>
      <c r="D173" s="284">
        <f t="shared" si="11"/>
        <v>2271.1560053880094</v>
      </c>
      <c r="E173" s="284">
        <f t="shared" si="12"/>
        <v>1352.770182230955</v>
      </c>
      <c r="F173" s="284">
        <f t="shared" si="13"/>
        <v>918.38582315705435</v>
      </c>
      <c r="G173" s="284">
        <f t="shared" si="14"/>
        <v>294231.47211814224</v>
      </c>
    </row>
    <row r="174" spans="1:7">
      <c r="A174" s="142">
        <v>164</v>
      </c>
      <c r="B174" s="254">
        <v>45260</v>
      </c>
      <c r="C174" s="284">
        <f t="shared" si="10"/>
        <v>294231.47211814224</v>
      </c>
      <c r="D174" s="284">
        <f t="shared" si="11"/>
        <v>2271.1560053880094</v>
      </c>
      <c r="E174" s="284">
        <f t="shared" si="12"/>
        <v>1348.5609138748187</v>
      </c>
      <c r="F174" s="284">
        <f t="shared" si="13"/>
        <v>922.59509151319071</v>
      </c>
      <c r="G174" s="284">
        <f t="shared" si="14"/>
        <v>293308.87702662905</v>
      </c>
    </row>
    <row r="175" spans="1:7">
      <c r="A175" s="142">
        <v>165</v>
      </c>
      <c r="B175" s="254">
        <v>45291</v>
      </c>
      <c r="C175" s="284">
        <f t="shared" si="10"/>
        <v>293308.87702662905</v>
      </c>
      <c r="D175" s="284">
        <f t="shared" si="11"/>
        <v>2271.1560053880094</v>
      </c>
      <c r="E175" s="284">
        <f t="shared" si="12"/>
        <v>1344.3323530387165</v>
      </c>
      <c r="F175" s="284">
        <f t="shared" si="13"/>
        <v>926.82365234929284</v>
      </c>
      <c r="G175" s="284">
        <f t="shared" si="14"/>
        <v>292382.05337427976</v>
      </c>
    </row>
    <row r="176" spans="1:7">
      <c r="A176" s="142">
        <v>166</v>
      </c>
      <c r="B176" s="254">
        <v>45322</v>
      </c>
      <c r="C176" s="284">
        <f t="shared" si="10"/>
        <v>292382.05337427976</v>
      </c>
      <c r="D176" s="284">
        <f t="shared" si="11"/>
        <v>2271.1560053880094</v>
      </c>
      <c r="E176" s="284">
        <f t="shared" si="12"/>
        <v>1340.0844112987822</v>
      </c>
      <c r="F176" s="284">
        <f t="shared" si="13"/>
        <v>931.07159408922712</v>
      </c>
      <c r="G176" s="284">
        <f t="shared" si="14"/>
        <v>291450.98178019054</v>
      </c>
    </row>
    <row r="177" spans="1:7">
      <c r="A177" s="142">
        <v>167</v>
      </c>
      <c r="B177" s="254">
        <v>45351</v>
      </c>
      <c r="C177" s="284">
        <f t="shared" si="10"/>
        <v>291450.98178019054</v>
      </c>
      <c r="D177" s="284">
        <f t="shared" si="11"/>
        <v>2271.1560053880094</v>
      </c>
      <c r="E177" s="284">
        <f t="shared" si="12"/>
        <v>1335.8169998258734</v>
      </c>
      <c r="F177" s="284">
        <f t="shared" si="13"/>
        <v>935.33900556213598</v>
      </c>
      <c r="G177" s="284">
        <f t="shared" si="14"/>
        <v>290515.64277462842</v>
      </c>
    </row>
    <row r="178" spans="1:7">
      <c r="A178" s="142">
        <v>168</v>
      </c>
      <c r="B178" s="254">
        <v>45382</v>
      </c>
      <c r="C178" s="284">
        <f t="shared" si="10"/>
        <v>290515.64277462842</v>
      </c>
      <c r="D178" s="284">
        <f t="shared" si="11"/>
        <v>2271.1560053880094</v>
      </c>
      <c r="E178" s="284">
        <f t="shared" si="12"/>
        <v>1331.5300293837136</v>
      </c>
      <c r="F178" s="284">
        <f t="shared" si="13"/>
        <v>939.62597600429581</v>
      </c>
      <c r="G178" s="284">
        <f t="shared" si="14"/>
        <v>289576.01679862413</v>
      </c>
    </row>
    <row r="179" spans="1:7">
      <c r="A179" s="142">
        <v>169</v>
      </c>
      <c r="B179" s="254">
        <v>45412</v>
      </c>
      <c r="C179" s="284">
        <f t="shared" si="10"/>
        <v>289576.01679862413</v>
      </c>
      <c r="D179" s="284">
        <f t="shared" si="11"/>
        <v>2271.1560053880094</v>
      </c>
      <c r="E179" s="284">
        <f t="shared" si="12"/>
        <v>1327.2234103270273</v>
      </c>
      <c r="F179" s="284">
        <f t="shared" si="13"/>
        <v>943.93259506098207</v>
      </c>
      <c r="G179" s="284">
        <f t="shared" si="14"/>
        <v>288632.08420356316</v>
      </c>
    </row>
    <row r="180" spans="1:7">
      <c r="A180" s="142">
        <v>170</v>
      </c>
      <c r="B180" s="254">
        <v>45443</v>
      </c>
      <c r="C180" s="284">
        <f t="shared" si="10"/>
        <v>288632.08420356316</v>
      </c>
      <c r="D180" s="284">
        <f t="shared" si="11"/>
        <v>2271.1560053880094</v>
      </c>
      <c r="E180" s="284">
        <f t="shared" si="12"/>
        <v>1322.8970525996644</v>
      </c>
      <c r="F180" s="284">
        <f t="shared" si="13"/>
        <v>948.25895278834491</v>
      </c>
      <c r="G180" s="284">
        <f t="shared" si="14"/>
        <v>287683.8252507748</v>
      </c>
    </row>
    <row r="181" spans="1:7">
      <c r="A181" s="142">
        <v>171</v>
      </c>
      <c r="B181" s="254">
        <v>45473</v>
      </c>
      <c r="C181" s="284">
        <f t="shared" si="10"/>
        <v>287683.8252507748</v>
      </c>
      <c r="D181" s="284">
        <f t="shared" si="11"/>
        <v>2271.1560053880094</v>
      </c>
      <c r="E181" s="284">
        <f t="shared" si="12"/>
        <v>1318.550865732718</v>
      </c>
      <c r="F181" s="284">
        <f t="shared" si="13"/>
        <v>952.6051396552914</v>
      </c>
      <c r="G181" s="284">
        <f t="shared" si="14"/>
        <v>286731.2201111195</v>
      </c>
    </row>
    <row r="182" spans="1:7">
      <c r="A182" s="142">
        <v>172</v>
      </c>
      <c r="B182" s="254">
        <v>45504</v>
      </c>
      <c r="C182" s="284">
        <f t="shared" si="10"/>
        <v>286731.2201111195</v>
      </c>
      <c r="D182" s="284">
        <f t="shared" si="11"/>
        <v>2271.1560053880094</v>
      </c>
      <c r="E182" s="284">
        <f t="shared" si="12"/>
        <v>1314.184758842631</v>
      </c>
      <c r="F182" s="284">
        <f t="shared" si="13"/>
        <v>956.97124654537834</v>
      </c>
      <c r="G182" s="284">
        <f t="shared" si="14"/>
        <v>285774.24886457413</v>
      </c>
    </row>
    <row r="183" spans="1:7">
      <c r="A183" s="142">
        <v>173</v>
      </c>
      <c r="B183" s="254">
        <v>45535</v>
      </c>
      <c r="C183" s="284">
        <f t="shared" si="10"/>
        <v>285774.24886457413</v>
      </c>
      <c r="D183" s="284">
        <f t="shared" si="11"/>
        <v>2271.1560053880094</v>
      </c>
      <c r="E183" s="284">
        <f t="shared" si="12"/>
        <v>1309.798640629298</v>
      </c>
      <c r="F183" s="284">
        <f t="shared" si="13"/>
        <v>961.35736475871136</v>
      </c>
      <c r="G183" s="284">
        <f t="shared" si="14"/>
        <v>284812.89149981539</v>
      </c>
    </row>
    <row r="184" spans="1:7">
      <c r="A184" s="142">
        <v>174</v>
      </c>
      <c r="B184" s="254">
        <v>45565</v>
      </c>
      <c r="C184" s="284">
        <f t="shared" si="10"/>
        <v>284812.89149981539</v>
      </c>
      <c r="D184" s="284">
        <f t="shared" si="11"/>
        <v>2271.1560053880094</v>
      </c>
      <c r="E184" s="284">
        <f t="shared" si="12"/>
        <v>1305.3924193741539</v>
      </c>
      <c r="F184" s="284">
        <f t="shared" si="13"/>
        <v>965.7635860138555</v>
      </c>
      <c r="G184" s="284">
        <f t="shared" si="14"/>
        <v>283847.12791380152</v>
      </c>
    </row>
    <row r="185" spans="1:7">
      <c r="A185" s="142">
        <v>175</v>
      </c>
      <c r="B185" s="254">
        <v>45596</v>
      </c>
      <c r="C185" s="284">
        <f t="shared" si="10"/>
        <v>283847.12791380152</v>
      </c>
      <c r="D185" s="284">
        <f t="shared" si="11"/>
        <v>2271.1560053880094</v>
      </c>
      <c r="E185" s="284">
        <f t="shared" si="12"/>
        <v>1300.9660029382569</v>
      </c>
      <c r="F185" s="284">
        <f t="shared" si="13"/>
        <v>970.19000244975246</v>
      </c>
      <c r="G185" s="284">
        <f t="shared" si="14"/>
        <v>282876.93791135179</v>
      </c>
    </row>
    <row r="186" spans="1:7">
      <c r="A186" s="142">
        <v>176</v>
      </c>
      <c r="B186" s="254">
        <v>45626</v>
      </c>
      <c r="C186" s="284">
        <f t="shared" si="10"/>
        <v>282876.93791135179</v>
      </c>
      <c r="D186" s="284">
        <f t="shared" si="11"/>
        <v>2271.1560053880094</v>
      </c>
      <c r="E186" s="284">
        <f t="shared" si="12"/>
        <v>1296.5192987603625</v>
      </c>
      <c r="F186" s="284">
        <f t="shared" si="13"/>
        <v>974.63670662764684</v>
      </c>
      <c r="G186" s="284">
        <f t="shared" si="14"/>
        <v>281902.30120472412</v>
      </c>
    </row>
    <row r="187" spans="1:7">
      <c r="A187" s="142">
        <v>177</v>
      </c>
      <c r="B187" s="254">
        <v>45657</v>
      </c>
      <c r="C187" s="284">
        <f t="shared" si="10"/>
        <v>281902.30120472412</v>
      </c>
      <c r="D187" s="284">
        <f t="shared" si="11"/>
        <v>2271.1560053880094</v>
      </c>
      <c r="E187" s="284">
        <f t="shared" si="12"/>
        <v>1292.0522138549857</v>
      </c>
      <c r="F187" s="284">
        <f t="shared" si="13"/>
        <v>979.1037915330237</v>
      </c>
      <c r="G187" s="284">
        <f t="shared" si="14"/>
        <v>280923.19741319108</v>
      </c>
    </row>
    <row r="188" spans="1:7">
      <c r="A188" s="142">
        <v>178</v>
      </c>
      <c r="B188" s="254">
        <v>45688</v>
      </c>
      <c r="C188" s="284">
        <f t="shared" si="10"/>
        <v>280923.19741319108</v>
      </c>
      <c r="D188" s="284">
        <f t="shared" si="11"/>
        <v>2271.1560053880094</v>
      </c>
      <c r="E188" s="284">
        <f t="shared" si="12"/>
        <v>1287.5646548104592</v>
      </c>
      <c r="F188" s="284">
        <f t="shared" si="13"/>
        <v>983.5913505775502</v>
      </c>
      <c r="G188" s="284">
        <f t="shared" si="14"/>
        <v>279939.60606261354</v>
      </c>
    </row>
    <row r="189" spans="1:7">
      <c r="A189" s="142">
        <v>179</v>
      </c>
      <c r="B189" s="254">
        <v>45716</v>
      </c>
      <c r="C189" s="284">
        <f t="shared" si="10"/>
        <v>279939.60606261354</v>
      </c>
      <c r="D189" s="284">
        <f t="shared" si="11"/>
        <v>2271.1560053880094</v>
      </c>
      <c r="E189" s="284">
        <f t="shared" si="12"/>
        <v>1283.0565277869787</v>
      </c>
      <c r="F189" s="284">
        <f t="shared" si="13"/>
        <v>988.09947760103069</v>
      </c>
      <c r="G189" s="284">
        <f t="shared" si="14"/>
        <v>278951.50658501254</v>
      </c>
    </row>
    <row r="190" spans="1:7">
      <c r="A190" s="142">
        <v>180</v>
      </c>
      <c r="B190" s="254">
        <v>45747</v>
      </c>
      <c r="C190" s="284">
        <f t="shared" si="10"/>
        <v>278951.50658501254</v>
      </c>
      <c r="D190" s="284">
        <f t="shared" si="11"/>
        <v>2271.1560053880094</v>
      </c>
      <c r="E190" s="284">
        <f t="shared" si="12"/>
        <v>1278.5277385146408</v>
      </c>
      <c r="F190" s="284">
        <f t="shared" si="13"/>
        <v>992.6282668733686</v>
      </c>
      <c r="G190" s="284">
        <f t="shared" si="14"/>
        <v>277958.87831813918</v>
      </c>
    </row>
    <row r="191" spans="1:7">
      <c r="A191" s="142">
        <v>181</v>
      </c>
      <c r="B191" s="254">
        <v>45777</v>
      </c>
      <c r="C191" s="284">
        <f t="shared" si="10"/>
        <v>277958.87831813918</v>
      </c>
      <c r="D191" s="284">
        <f t="shared" si="11"/>
        <v>2271.1560053880094</v>
      </c>
      <c r="E191" s="284">
        <f t="shared" si="12"/>
        <v>1273.9781922914713</v>
      </c>
      <c r="F191" s="284">
        <f t="shared" si="13"/>
        <v>997.1778130965381</v>
      </c>
      <c r="G191" s="284">
        <f t="shared" si="14"/>
        <v>276961.70050504262</v>
      </c>
    </row>
    <row r="192" spans="1:7">
      <c r="A192" s="142">
        <v>182</v>
      </c>
      <c r="B192" s="254">
        <v>45808</v>
      </c>
      <c r="C192" s="284">
        <f t="shared" si="10"/>
        <v>276961.70050504262</v>
      </c>
      <c r="D192" s="284">
        <f t="shared" si="11"/>
        <v>2271.1560053880094</v>
      </c>
      <c r="E192" s="284">
        <f t="shared" si="12"/>
        <v>1269.4077939814454</v>
      </c>
      <c r="F192" s="284">
        <f t="shared" si="13"/>
        <v>1001.748211406564</v>
      </c>
      <c r="G192" s="284">
        <f t="shared" si="14"/>
        <v>275959.95229363604</v>
      </c>
    </row>
    <row r="193" spans="1:7">
      <c r="A193" s="142">
        <v>183</v>
      </c>
      <c r="B193" s="254">
        <v>45838</v>
      </c>
      <c r="C193" s="284">
        <f t="shared" si="10"/>
        <v>275959.95229363604</v>
      </c>
      <c r="D193" s="284">
        <f t="shared" si="11"/>
        <v>2271.1560053880094</v>
      </c>
      <c r="E193" s="284">
        <f t="shared" si="12"/>
        <v>1264.8164480124985</v>
      </c>
      <c r="F193" s="284">
        <f t="shared" si="13"/>
        <v>1006.3395573755108</v>
      </c>
      <c r="G193" s="284">
        <f t="shared" si="14"/>
        <v>274953.61273626052</v>
      </c>
    </row>
    <row r="194" spans="1:7">
      <c r="A194" s="142">
        <v>184</v>
      </c>
      <c r="B194" s="254">
        <v>45869</v>
      </c>
      <c r="C194" s="284">
        <f t="shared" si="10"/>
        <v>274953.61273626052</v>
      </c>
      <c r="D194" s="284">
        <f t="shared" si="11"/>
        <v>2271.1560053880094</v>
      </c>
      <c r="E194" s="284">
        <f t="shared" si="12"/>
        <v>1260.2040583745274</v>
      </c>
      <c r="F194" s="284">
        <f t="shared" si="13"/>
        <v>1010.9519470134819</v>
      </c>
      <c r="G194" s="284">
        <f t="shared" si="14"/>
        <v>273942.66078924702</v>
      </c>
    </row>
    <row r="195" spans="1:7">
      <c r="A195" s="142">
        <v>185</v>
      </c>
      <c r="B195" s="254">
        <v>45900</v>
      </c>
      <c r="C195" s="284">
        <f t="shared" si="10"/>
        <v>273942.66078924702</v>
      </c>
      <c r="D195" s="284">
        <f t="shared" si="11"/>
        <v>2271.1560053880094</v>
      </c>
      <c r="E195" s="284">
        <f t="shared" si="12"/>
        <v>1255.5705286173823</v>
      </c>
      <c r="F195" s="284">
        <f t="shared" si="13"/>
        <v>1015.5854767706271</v>
      </c>
      <c r="G195" s="284">
        <f t="shared" si="14"/>
        <v>272927.07531247637</v>
      </c>
    </row>
    <row r="196" spans="1:7">
      <c r="A196" s="142">
        <v>186</v>
      </c>
      <c r="B196" s="254">
        <v>45930</v>
      </c>
      <c r="C196" s="284">
        <f t="shared" si="10"/>
        <v>272927.07531247637</v>
      </c>
      <c r="D196" s="284">
        <f t="shared" si="11"/>
        <v>2271.1560053880094</v>
      </c>
      <c r="E196" s="284">
        <f t="shared" si="12"/>
        <v>1250.91576184885</v>
      </c>
      <c r="F196" s="284">
        <f t="shared" si="13"/>
        <v>1020.2402435391593</v>
      </c>
      <c r="G196" s="284">
        <f t="shared" si="14"/>
        <v>271906.83506893722</v>
      </c>
    </row>
    <row r="197" spans="1:7">
      <c r="A197" s="142">
        <v>187</v>
      </c>
      <c r="B197" s="254">
        <v>45961</v>
      </c>
      <c r="C197" s="284">
        <f t="shared" si="10"/>
        <v>271906.83506893722</v>
      </c>
      <c r="D197" s="284">
        <f t="shared" si="11"/>
        <v>2271.1560053880094</v>
      </c>
      <c r="E197" s="284">
        <f t="shared" si="12"/>
        <v>1246.2396607326289</v>
      </c>
      <c r="F197" s="284">
        <f t="shared" si="13"/>
        <v>1024.9163446553805</v>
      </c>
      <c r="G197" s="284">
        <f t="shared" si="14"/>
        <v>270881.91872428183</v>
      </c>
    </row>
    <row r="198" spans="1:7">
      <c r="A198" s="142">
        <v>188</v>
      </c>
      <c r="B198" s="254">
        <v>45991</v>
      </c>
      <c r="C198" s="284">
        <f t="shared" si="10"/>
        <v>270881.91872428183</v>
      </c>
      <c r="D198" s="284">
        <f t="shared" si="11"/>
        <v>2271.1560053880094</v>
      </c>
      <c r="E198" s="284">
        <f t="shared" si="12"/>
        <v>1241.5421274862917</v>
      </c>
      <c r="F198" s="284">
        <f t="shared" si="13"/>
        <v>1029.6138779017176</v>
      </c>
      <c r="G198" s="284">
        <f t="shared" si="14"/>
        <v>269852.30484638014</v>
      </c>
    </row>
    <row r="199" spans="1:7">
      <c r="A199" s="142">
        <v>189</v>
      </c>
      <c r="B199" s="254">
        <v>46022</v>
      </c>
      <c r="C199" s="284">
        <f t="shared" si="10"/>
        <v>269852.30484638014</v>
      </c>
      <c r="D199" s="284">
        <f t="shared" si="11"/>
        <v>2271.1560053880094</v>
      </c>
      <c r="E199" s="284">
        <f t="shared" si="12"/>
        <v>1236.8230638792422</v>
      </c>
      <c r="F199" s="284">
        <f t="shared" si="13"/>
        <v>1034.3329415087671</v>
      </c>
      <c r="G199" s="284">
        <f t="shared" si="14"/>
        <v>268817.97190487135</v>
      </c>
    </row>
    <row r="200" spans="1:7">
      <c r="A200" s="142">
        <v>190</v>
      </c>
      <c r="B200" s="254">
        <v>46053</v>
      </c>
      <c r="C200" s="284">
        <f t="shared" si="10"/>
        <v>268817.97190487135</v>
      </c>
      <c r="D200" s="284">
        <f t="shared" si="11"/>
        <v>2271.1560053880094</v>
      </c>
      <c r="E200" s="284">
        <f t="shared" si="12"/>
        <v>1232.0823712306603</v>
      </c>
      <c r="F200" s="284">
        <f t="shared" si="13"/>
        <v>1039.073634157349</v>
      </c>
      <c r="G200" s="284">
        <f t="shared" si="14"/>
        <v>267778.89827071398</v>
      </c>
    </row>
    <row r="201" spans="1:7">
      <c r="A201" s="142">
        <v>191</v>
      </c>
      <c r="B201" s="254">
        <v>46081</v>
      </c>
      <c r="C201" s="284">
        <f t="shared" si="10"/>
        <v>267778.89827071398</v>
      </c>
      <c r="D201" s="284">
        <f t="shared" si="11"/>
        <v>2271.1560053880094</v>
      </c>
      <c r="E201" s="284">
        <f t="shared" si="12"/>
        <v>1227.3199504074391</v>
      </c>
      <c r="F201" s="284">
        <f t="shared" si="13"/>
        <v>1043.8360549805702</v>
      </c>
      <c r="G201" s="284">
        <f t="shared" si="14"/>
        <v>266735.0622157334</v>
      </c>
    </row>
    <row r="202" spans="1:7">
      <c r="A202" s="142">
        <v>192</v>
      </c>
      <c r="B202" s="254">
        <v>46112</v>
      </c>
      <c r="C202" s="284">
        <f t="shared" si="10"/>
        <v>266735.0622157334</v>
      </c>
      <c r="D202" s="284">
        <f t="shared" si="11"/>
        <v>2271.1560053880094</v>
      </c>
      <c r="E202" s="284">
        <f t="shared" si="12"/>
        <v>1222.5357018221114</v>
      </c>
      <c r="F202" s="284">
        <f t="shared" si="13"/>
        <v>1048.620303565898</v>
      </c>
      <c r="G202" s="284">
        <f t="shared" si="14"/>
        <v>265686.44191216753</v>
      </c>
    </row>
    <row r="203" spans="1:7">
      <c r="A203" s="142">
        <v>193</v>
      </c>
      <c r="B203" s="254">
        <v>46142</v>
      </c>
      <c r="C203" s="284">
        <f t="shared" si="10"/>
        <v>265686.44191216753</v>
      </c>
      <c r="D203" s="284">
        <f t="shared" si="11"/>
        <v>2271.1560053880094</v>
      </c>
      <c r="E203" s="284">
        <f t="shared" si="12"/>
        <v>1217.7295254307678</v>
      </c>
      <c r="F203" s="284">
        <f t="shared" si="13"/>
        <v>1053.4264799572416</v>
      </c>
      <c r="G203" s="284">
        <f t="shared" si="14"/>
        <v>264633.01543221029</v>
      </c>
    </row>
    <row r="204" spans="1:7">
      <c r="A204" s="142">
        <v>194</v>
      </c>
      <c r="B204" s="254">
        <v>46173</v>
      </c>
      <c r="C204" s="284">
        <f t="shared" si="10"/>
        <v>264633.01543221029</v>
      </c>
      <c r="D204" s="284">
        <f t="shared" si="11"/>
        <v>2271.1560053880094</v>
      </c>
      <c r="E204" s="284">
        <f t="shared" si="12"/>
        <v>1212.9013207309638</v>
      </c>
      <c r="F204" s="284">
        <f t="shared" si="13"/>
        <v>1058.2546846570456</v>
      </c>
      <c r="G204" s="284">
        <f t="shared" si="14"/>
        <v>263574.76074755326</v>
      </c>
    </row>
    <row r="205" spans="1:7">
      <c r="A205" s="142">
        <v>195</v>
      </c>
      <c r="B205" s="254">
        <v>46203</v>
      </c>
      <c r="C205" s="284">
        <f t="shared" ref="C205:C268" si="15">G204</f>
        <v>263574.76074755326</v>
      </c>
      <c r="D205" s="284">
        <f t="shared" ref="D205:D268" si="16">$B$7</f>
        <v>2271.1560053880094</v>
      </c>
      <c r="E205" s="284">
        <f t="shared" ref="E205:E268" si="17">C205*$B$4/12</f>
        <v>1208.050986759619</v>
      </c>
      <c r="F205" s="284">
        <f t="shared" ref="F205:F268" si="18">D205-E205</f>
        <v>1063.1050186283903</v>
      </c>
      <c r="G205" s="284">
        <f t="shared" ref="G205:G268" si="19">C205-F205</f>
        <v>262511.65572892484</v>
      </c>
    </row>
    <row r="206" spans="1:7">
      <c r="A206" s="142">
        <v>196</v>
      </c>
      <c r="B206" s="254">
        <v>46234</v>
      </c>
      <c r="C206" s="284">
        <f t="shared" si="15"/>
        <v>262511.65572892484</v>
      </c>
      <c r="D206" s="284">
        <f t="shared" si="16"/>
        <v>2271.1560053880094</v>
      </c>
      <c r="E206" s="284">
        <f t="shared" si="17"/>
        <v>1203.1784220909055</v>
      </c>
      <c r="F206" s="284">
        <f t="shared" si="18"/>
        <v>1067.9775832971038</v>
      </c>
      <c r="G206" s="284">
        <f t="shared" si="19"/>
        <v>261443.67814562775</v>
      </c>
    </row>
    <row r="207" spans="1:7">
      <c r="A207" s="142">
        <v>197</v>
      </c>
      <c r="B207" s="254">
        <v>46265</v>
      </c>
      <c r="C207" s="284">
        <f t="shared" si="15"/>
        <v>261443.67814562775</v>
      </c>
      <c r="D207" s="284">
        <f t="shared" si="16"/>
        <v>2271.1560053880094</v>
      </c>
      <c r="E207" s="284">
        <f t="shared" si="17"/>
        <v>1198.2835248341273</v>
      </c>
      <c r="F207" s="284">
        <f t="shared" si="18"/>
        <v>1072.872480553882</v>
      </c>
      <c r="G207" s="284">
        <f t="shared" si="19"/>
        <v>260370.80566507386</v>
      </c>
    </row>
    <row r="208" spans="1:7">
      <c r="A208" s="142">
        <v>198</v>
      </c>
      <c r="B208" s="254">
        <v>46295</v>
      </c>
      <c r="C208" s="284">
        <f t="shared" si="15"/>
        <v>260370.80566507386</v>
      </c>
      <c r="D208" s="284">
        <f t="shared" si="16"/>
        <v>2271.1560053880094</v>
      </c>
      <c r="E208" s="284">
        <f t="shared" si="17"/>
        <v>1193.3661926315885</v>
      </c>
      <c r="F208" s="284">
        <f t="shared" si="18"/>
        <v>1077.7898127564208</v>
      </c>
      <c r="G208" s="284">
        <f t="shared" si="19"/>
        <v>259293.01585231745</v>
      </c>
    </row>
    <row r="209" spans="1:7">
      <c r="A209" s="142">
        <v>199</v>
      </c>
      <c r="B209" s="254">
        <v>46326</v>
      </c>
      <c r="C209" s="284">
        <f t="shared" si="15"/>
        <v>259293.01585231745</v>
      </c>
      <c r="D209" s="284">
        <f t="shared" si="16"/>
        <v>2271.1560053880094</v>
      </c>
      <c r="E209" s="284">
        <f t="shared" si="17"/>
        <v>1188.4263226564551</v>
      </c>
      <c r="F209" s="284">
        <f t="shared" si="18"/>
        <v>1082.7296827315542</v>
      </c>
      <c r="G209" s="284">
        <f t="shared" si="19"/>
        <v>258210.28616958589</v>
      </c>
    </row>
    <row r="210" spans="1:7">
      <c r="A210" s="142">
        <v>200</v>
      </c>
      <c r="B210" s="254">
        <v>46356</v>
      </c>
      <c r="C210" s="284">
        <f t="shared" si="15"/>
        <v>258210.28616958589</v>
      </c>
      <c r="D210" s="284">
        <f t="shared" si="16"/>
        <v>2271.1560053880094</v>
      </c>
      <c r="E210" s="284">
        <f t="shared" si="17"/>
        <v>1183.4638116106019</v>
      </c>
      <c r="F210" s="284">
        <f t="shared" si="18"/>
        <v>1087.6921937774075</v>
      </c>
      <c r="G210" s="284">
        <f t="shared" si="19"/>
        <v>257122.59397580847</v>
      </c>
    </row>
    <row r="211" spans="1:7">
      <c r="A211" s="142">
        <v>201</v>
      </c>
      <c r="B211" s="254">
        <v>46387</v>
      </c>
      <c r="C211" s="284">
        <f t="shared" si="15"/>
        <v>257122.59397580847</v>
      </c>
      <c r="D211" s="284">
        <f t="shared" si="16"/>
        <v>2271.1560053880094</v>
      </c>
      <c r="E211" s="284">
        <f t="shared" si="17"/>
        <v>1178.4785557224554</v>
      </c>
      <c r="F211" s="284">
        <f t="shared" si="18"/>
        <v>1092.6774496655539</v>
      </c>
      <c r="G211" s="284">
        <f t="shared" si="19"/>
        <v>256029.91652614292</v>
      </c>
    </row>
    <row r="212" spans="1:7">
      <c r="A212" s="142">
        <v>202</v>
      </c>
      <c r="B212" s="254">
        <v>46418</v>
      </c>
      <c r="C212" s="284">
        <f t="shared" si="15"/>
        <v>256029.91652614292</v>
      </c>
      <c r="D212" s="284">
        <f t="shared" si="16"/>
        <v>2271.1560053880094</v>
      </c>
      <c r="E212" s="284">
        <f t="shared" si="17"/>
        <v>1173.4704507448216</v>
      </c>
      <c r="F212" s="284">
        <f t="shared" si="18"/>
        <v>1097.6855546431877</v>
      </c>
      <c r="G212" s="284">
        <f t="shared" si="19"/>
        <v>254932.23097149972</v>
      </c>
    </row>
    <row r="213" spans="1:7">
      <c r="A213" s="142">
        <v>203</v>
      </c>
      <c r="B213" s="254">
        <v>46446</v>
      </c>
      <c r="C213" s="284">
        <f t="shared" si="15"/>
        <v>254932.23097149972</v>
      </c>
      <c r="D213" s="284">
        <f t="shared" si="16"/>
        <v>2271.1560053880094</v>
      </c>
      <c r="E213" s="284">
        <f t="shared" si="17"/>
        <v>1168.4393919527072</v>
      </c>
      <c r="F213" s="284">
        <f t="shared" si="18"/>
        <v>1102.7166134353022</v>
      </c>
      <c r="G213" s="284">
        <f t="shared" si="19"/>
        <v>253829.51435806442</v>
      </c>
    </row>
    <row r="214" spans="1:7">
      <c r="A214" s="142">
        <v>204</v>
      </c>
      <c r="B214" s="254">
        <v>46477</v>
      </c>
      <c r="C214" s="284">
        <f t="shared" si="15"/>
        <v>253829.51435806442</v>
      </c>
      <c r="D214" s="284">
        <f t="shared" si="16"/>
        <v>2271.1560053880094</v>
      </c>
      <c r="E214" s="284">
        <f t="shared" si="17"/>
        <v>1163.3852741411285</v>
      </c>
      <c r="F214" s="284">
        <f t="shared" si="18"/>
        <v>1107.7707312468808</v>
      </c>
      <c r="G214" s="284">
        <f t="shared" si="19"/>
        <v>252721.74362681754</v>
      </c>
    </row>
    <row r="215" spans="1:7">
      <c r="A215" s="142">
        <v>205</v>
      </c>
      <c r="B215" s="254">
        <v>46507</v>
      </c>
      <c r="C215" s="284">
        <f t="shared" si="15"/>
        <v>252721.74362681754</v>
      </c>
      <c r="D215" s="284">
        <f t="shared" si="16"/>
        <v>2271.1560053880094</v>
      </c>
      <c r="E215" s="284">
        <f t="shared" si="17"/>
        <v>1158.3079916229137</v>
      </c>
      <c r="F215" s="284">
        <f t="shared" si="18"/>
        <v>1112.8480137650956</v>
      </c>
      <c r="G215" s="284">
        <f t="shared" si="19"/>
        <v>251608.89561305245</v>
      </c>
    </row>
    <row r="216" spans="1:7">
      <c r="A216" s="142">
        <v>206</v>
      </c>
      <c r="B216" s="254">
        <v>46538</v>
      </c>
      <c r="C216" s="284">
        <f t="shared" si="15"/>
        <v>251608.89561305245</v>
      </c>
      <c r="D216" s="284">
        <f t="shared" si="16"/>
        <v>2271.1560053880094</v>
      </c>
      <c r="E216" s="284">
        <f t="shared" si="17"/>
        <v>1153.2074382264902</v>
      </c>
      <c r="F216" s="284">
        <f t="shared" si="18"/>
        <v>1117.9485671615191</v>
      </c>
      <c r="G216" s="284">
        <f t="shared" si="19"/>
        <v>250490.94704589093</v>
      </c>
    </row>
    <row r="217" spans="1:7">
      <c r="A217" s="142">
        <v>207</v>
      </c>
      <c r="B217" s="254">
        <v>46568</v>
      </c>
      <c r="C217" s="284">
        <f t="shared" si="15"/>
        <v>250490.94704589093</v>
      </c>
      <c r="D217" s="284">
        <f t="shared" si="16"/>
        <v>2271.1560053880094</v>
      </c>
      <c r="E217" s="284">
        <f t="shared" si="17"/>
        <v>1148.0835072936668</v>
      </c>
      <c r="F217" s="284">
        <f t="shared" si="18"/>
        <v>1123.0724980943426</v>
      </c>
      <c r="G217" s="284">
        <f t="shared" si="19"/>
        <v>249367.87454779659</v>
      </c>
    </row>
    <row r="218" spans="1:7">
      <c r="A218" s="142">
        <v>208</v>
      </c>
      <c r="B218" s="254">
        <v>46599</v>
      </c>
      <c r="C218" s="284">
        <f t="shared" si="15"/>
        <v>249367.87454779659</v>
      </c>
      <c r="D218" s="284">
        <f t="shared" si="16"/>
        <v>2271.1560053880094</v>
      </c>
      <c r="E218" s="284">
        <f t="shared" si="17"/>
        <v>1142.936091677401</v>
      </c>
      <c r="F218" s="284">
        <f t="shared" si="18"/>
        <v>1128.2199137106084</v>
      </c>
      <c r="G218" s="284">
        <f t="shared" si="19"/>
        <v>248239.65463408598</v>
      </c>
    </row>
    <row r="219" spans="1:7">
      <c r="A219" s="142">
        <v>209</v>
      </c>
      <c r="B219" s="254">
        <v>46630</v>
      </c>
      <c r="C219" s="284">
        <f t="shared" si="15"/>
        <v>248239.65463408598</v>
      </c>
      <c r="D219" s="284">
        <f t="shared" si="16"/>
        <v>2271.1560053880094</v>
      </c>
      <c r="E219" s="284">
        <f t="shared" si="17"/>
        <v>1137.7650837395606</v>
      </c>
      <c r="F219" s="284">
        <f t="shared" si="18"/>
        <v>1133.3909216484487</v>
      </c>
      <c r="G219" s="284">
        <f t="shared" si="19"/>
        <v>247106.26371243753</v>
      </c>
    </row>
    <row r="220" spans="1:7">
      <c r="A220" s="142">
        <v>210</v>
      </c>
      <c r="B220" s="254">
        <v>46660</v>
      </c>
      <c r="C220" s="284">
        <f t="shared" si="15"/>
        <v>247106.26371243753</v>
      </c>
      <c r="D220" s="284">
        <f t="shared" si="16"/>
        <v>2271.1560053880094</v>
      </c>
      <c r="E220" s="284">
        <f t="shared" si="17"/>
        <v>1132.5703753486721</v>
      </c>
      <c r="F220" s="284">
        <f t="shared" si="18"/>
        <v>1138.5856300393373</v>
      </c>
      <c r="G220" s="284">
        <f t="shared" si="19"/>
        <v>245967.6780823982</v>
      </c>
    </row>
    <row r="221" spans="1:7">
      <c r="A221" s="142">
        <v>211</v>
      </c>
      <c r="B221" s="254">
        <v>46691</v>
      </c>
      <c r="C221" s="284">
        <f t="shared" si="15"/>
        <v>245967.6780823982</v>
      </c>
      <c r="D221" s="284">
        <f t="shared" si="16"/>
        <v>2271.1560053880094</v>
      </c>
      <c r="E221" s="284">
        <f t="shared" si="17"/>
        <v>1127.3518578776584</v>
      </c>
      <c r="F221" s="284">
        <f t="shared" si="18"/>
        <v>1143.804147510351</v>
      </c>
      <c r="G221" s="284">
        <f t="shared" si="19"/>
        <v>244823.87393488784</v>
      </c>
    </row>
    <row r="222" spans="1:7">
      <c r="A222" s="142">
        <v>212</v>
      </c>
      <c r="B222" s="254">
        <v>46721</v>
      </c>
      <c r="C222" s="284">
        <f t="shared" si="15"/>
        <v>244823.87393488784</v>
      </c>
      <c r="D222" s="284">
        <f t="shared" si="16"/>
        <v>2271.1560053880094</v>
      </c>
      <c r="E222" s="284">
        <f t="shared" si="17"/>
        <v>1122.1094222015693</v>
      </c>
      <c r="F222" s="284">
        <f t="shared" si="18"/>
        <v>1149.0465831864401</v>
      </c>
      <c r="G222" s="284">
        <f t="shared" si="19"/>
        <v>243674.82735170142</v>
      </c>
    </row>
    <row r="223" spans="1:7">
      <c r="A223" s="142">
        <v>213</v>
      </c>
      <c r="B223" s="254">
        <v>46752</v>
      </c>
      <c r="C223" s="284">
        <f t="shared" si="15"/>
        <v>243674.82735170142</v>
      </c>
      <c r="D223" s="284">
        <f t="shared" si="16"/>
        <v>2271.1560053880094</v>
      </c>
      <c r="E223" s="284">
        <f t="shared" si="17"/>
        <v>1116.8429586952982</v>
      </c>
      <c r="F223" s="284">
        <f t="shared" si="18"/>
        <v>1154.3130466927112</v>
      </c>
      <c r="G223" s="284">
        <f t="shared" si="19"/>
        <v>242520.51430500869</v>
      </c>
    </row>
    <row r="224" spans="1:7">
      <c r="A224" s="142">
        <v>214</v>
      </c>
      <c r="B224" s="254">
        <v>46783</v>
      </c>
      <c r="C224" s="284">
        <f t="shared" si="15"/>
        <v>242520.51430500869</v>
      </c>
      <c r="D224" s="284">
        <f t="shared" si="16"/>
        <v>2271.1560053880094</v>
      </c>
      <c r="E224" s="284">
        <f t="shared" si="17"/>
        <v>1111.5523572312898</v>
      </c>
      <c r="F224" s="284">
        <f t="shared" si="18"/>
        <v>1159.6036481567196</v>
      </c>
      <c r="G224" s="284">
        <f t="shared" si="19"/>
        <v>241360.91065685198</v>
      </c>
    </row>
    <row r="225" spans="1:7">
      <c r="A225" s="142">
        <v>215</v>
      </c>
      <c r="B225" s="254">
        <v>46812</v>
      </c>
      <c r="C225" s="284">
        <f t="shared" si="15"/>
        <v>241360.91065685198</v>
      </c>
      <c r="D225" s="284">
        <f t="shared" si="16"/>
        <v>2271.1560053880094</v>
      </c>
      <c r="E225" s="284">
        <f t="shared" si="17"/>
        <v>1106.2375071772383</v>
      </c>
      <c r="F225" s="284">
        <f t="shared" si="18"/>
        <v>1164.9184982107711</v>
      </c>
      <c r="G225" s="284">
        <f t="shared" si="19"/>
        <v>240195.99215864119</v>
      </c>
    </row>
    <row r="226" spans="1:7">
      <c r="A226" s="142">
        <v>216</v>
      </c>
      <c r="B226" s="254">
        <v>46843</v>
      </c>
      <c r="C226" s="284">
        <f t="shared" si="15"/>
        <v>240195.99215864119</v>
      </c>
      <c r="D226" s="284">
        <f t="shared" si="16"/>
        <v>2271.1560053880094</v>
      </c>
      <c r="E226" s="284">
        <f t="shared" si="17"/>
        <v>1100.8982973937721</v>
      </c>
      <c r="F226" s="284">
        <f t="shared" si="18"/>
        <v>1170.2577079942373</v>
      </c>
      <c r="G226" s="284">
        <f t="shared" si="19"/>
        <v>239025.73445064697</v>
      </c>
    </row>
    <row r="227" spans="1:7">
      <c r="A227" s="142">
        <v>217</v>
      </c>
      <c r="B227" s="254">
        <v>46873</v>
      </c>
      <c r="C227" s="284">
        <f t="shared" si="15"/>
        <v>239025.73445064697</v>
      </c>
      <c r="D227" s="284">
        <f t="shared" si="16"/>
        <v>2271.1560053880094</v>
      </c>
      <c r="E227" s="284">
        <f t="shared" si="17"/>
        <v>1095.5346162321318</v>
      </c>
      <c r="F227" s="284">
        <f t="shared" si="18"/>
        <v>1175.6213891558775</v>
      </c>
      <c r="G227" s="284">
        <f t="shared" si="19"/>
        <v>237850.11306149108</v>
      </c>
    </row>
    <row r="228" spans="1:7">
      <c r="A228" s="142">
        <v>218</v>
      </c>
      <c r="B228" s="254">
        <v>46904</v>
      </c>
      <c r="C228" s="284">
        <f t="shared" si="15"/>
        <v>237850.11306149108</v>
      </c>
      <c r="D228" s="284">
        <f t="shared" si="16"/>
        <v>2271.1560053880094</v>
      </c>
      <c r="E228" s="284">
        <f t="shared" si="17"/>
        <v>1090.1463515318342</v>
      </c>
      <c r="F228" s="284">
        <f t="shared" si="18"/>
        <v>1181.0096538561752</v>
      </c>
      <c r="G228" s="284">
        <f t="shared" si="19"/>
        <v>236669.10340763492</v>
      </c>
    </row>
    <row r="229" spans="1:7">
      <c r="A229" s="142">
        <v>219</v>
      </c>
      <c r="B229" s="254">
        <v>46934</v>
      </c>
      <c r="C229" s="284">
        <f t="shared" si="15"/>
        <v>236669.10340763492</v>
      </c>
      <c r="D229" s="284">
        <f t="shared" si="16"/>
        <v>2271.1560053880094</v>
      </c>
      <c r="E229" s="284">
        <f t="shared" si="17"/>
        <v>1084.7333906183267</v>
      </c>
      <c r="F229" s="284">
        <f t="shared" si="18"/>
        <v>1186.4226147696827</v>
      </c>
      <c r="G229" s="284">
        <f t="shared" si="19"/>
        <v>235482.68079286523</v>
      </c>
    </row>
    <row r="230" spans="1:7">
      <c r="A230" s="142">
        <v>220</v>
      </c>
      <c r="B230" s="254">
        <v>46965</v>
      </c>
      <c r="C230" s="284">
        <f t="shared" si="15"/>
        <v>235482.68079286523</v>
      </c>
      <c r="D230" s="284">
        <f t="shared" si="16"/>
        <v>2271.1560053880094</v>
      </c>
      <c r="E230" s="284">
        <f t="shared" si="17"/>
        <v>1079.2956203006322</v>
      </c>
      <c r="F230" s="284">
        <f t="shared" si="18"/>
        <v>1191.8603850873772</v>
      </c>
      <c r="G230" s="284">
        <f t="shared" si="19"/>
        <v>234290.82040777785</v>
      </c>
    </row>
    <row r="231" spans="1:7">
      <c r="A231" s="142">
        <v>221</v>
      </c>
      <c r="B231" s="254">
        <v>46996</v>
      </c>
      <c r="C231" s="284">
        <f t="shared" si="15"/>
        <v>234290.82040777785</v>
      </c>
      <c r="D231" s="284">
        <f t="shared" si="16"/>
        <v>2271.1560053880094</v>
      </c>
      <c r="E231" s="284">
        <f t="shared" si="17"/>
        <v>1073.8329268689818</v>
      </c>
      <c r="F231" s="284">
        <f t="shared" si="18"/>
        <v>1197.3230785190276</v>
      </c>
      <c r="G231" s="284">
        <f t="shared" si="19"/>
        <v>233093.49732925883</v>
      </c>
    </row>
    <row r="232" spans="1:7">
      <c r="A232" s="142">
        <v>222</v>
      </c>
      <c r="B232" s="254">
        <v>47026</v>
      </c>
      <c r="C232" s="284">
        <f t="shared" si="15"/>
        <v>233093.49732925883</v>
      </c>
      <c r="D232" s="284">
        <f t="shared" si="16"/>
        <v>2271.1560053880094</v>
      </c>
      <c r="E232" s="284">
        <f t="shared" si="17"/>
        <v>1068.3451960924363</v>
      </c>
      <c r="F232" s="284">
        <f t="shared" si="18"/>
        <v>1202.8108092955731</v>
      </c>
      <c r="G232" s="284">
        <f t="shared" si="19"/>
        <v>231890.68651996326</v>
      </c>
    </row>
    <row r="233" spans="1:7">
      <c r="A233" s="142">
        <v>223</v>
      </c>
      <c r="B233" s="254">
        <v>47057</v>
      </c>
      <c r="C233" s="284">
        <f t="shared" si="15"/>
        <v>231890.68651996326</v>
      </c>
      <c r="D233" s="284">
        <f t="shared" si="16"/>
        <v>2271.1560053880094</v>
      </c>
      <c r="E233" s="284">
        <f t="shared" si="17"/>
        <v>1062.8323132164983</v>
      </c>
      <c r="F233" s="284">
        <f t="shared" si="18"/>
        <v>1208.3236921715111</v>
      </c>
      <c r="G233" s="284">
        <f t="shared" si="19"/>
        <v>230682.36282779175</v>
      </c>
    </row>
    <row r="234" spans="1:7">
      <c r="A234" s="142">
        <v>224</v>
      </c>
      <c r="B234" s="254">
        <v>47087</v>
      </c>
      <c r="C234" s="284">
        <f t="shared" si="15"/>
        <v>230682.36282779175</v>
      </c>
      <c r="D234" s="284">
        <f t="shared" si="16"/>
        <v>2271.1560053880094</v>
      </c>
      <c r="E234" s="284">
        <f t="shared" si="17"/>
        <v>1057.2941629607121</v>
      </c>
      <c r="F234" s="284">
        <f t="shared" si="18"/>
        <v>1213.8618424272972</v>
      </c>
      <c r="G234" s="284">
        <f t="shared" si="19"/>
        <v>229468.50098536446</v>
      </c>
    </row>
    <row r="235" spans="1:7">
      <c r="A235" s="142">
        <v>225</v>
      </c>
      <c r="B235" s="254">
        <v>47118</v>
      </c>
      <c r="C235" s="284">
        <f t="shared" si="15"/>
        <v>229468.50098536446</v>
      </c>
      <c r="D235" s="284">
        <f t="shared" si="16"/>
        <v>2271.1560053880094</v>
      </c>
      <c r="E235" s="284">
        <f t="shared" si="17"/>
        <v>1051.7306295162537</v>
      </c>
      <c r="F235" s="284">
        <f t="shared" si="18"/>
        <v>1219.4253758717557</v>
      </c>
      <c r="G235" s="284">
        <f t="shared" si="19"/>
        <v>228249.07560949269</v>
      </c>
    </row>
    <row r="236" spans="1:7">
      <c r="A236" s="142">
        <v>226</v>
      </c>
      <c r="B236" s="254">
        <v>47149</v>
      </c>
      <c r="C236" s="284">
        <f t="shared" si="15"/>
        <v>228249.07560949269</v>
      </c>
      <c r="D236" s="284">
        <f t="shared" si="16"/>
        <v>2271.1560053880094</v>
      </c>
      <c r="E236" s="284">
        <f t="shared" si="17"/>
        <v>1046.1415965435083</v>
      </c>
      <c r="F236" s="284">
        <f t="shared" si="18"/>
        <v>1225.0144088445011</v>
      </c>
      <c r="G236" s="284">
        <f t="shared" si="19"/>
        <v>227024.0612006482</v>
      </c>
    </row>
    <row r="237" spans="1:7">
      <c r="A237" s="142">
        <v>227</v>
      </c>
      <c r="B237" s="254">
        <v>47177</v>
      </c>
      <c r="C237" s="284">
        <f t="shared" si="15"/>
        <v>227024.0612006482</v>
      </c>
      <c r="D237" s="284">
        <f t="shared" si="16"/>
        <v>2271.1560053880094</v>
      </c>
      <c r="E237" s="284">
        <f t="shared" si="17"/>
        <v>1040.5269471696377</v>
      </c>
      <c r="F237" s="284">
        <f t="shared" si="18"/>
        <v>1230.6290582183717</v>
      </c>
      <c r="G237" s="284">
        <f t="shared" si="19"/>
        <v>225793.43214242984</v>
      </c>
    </row>
    <row r="238" spans="1:7">
      <c r="A238" s="142">
        <v>228</v>
      </c>
      <c r="B238" s="254">
        <v>47208</v>
      </c>
      <c r="C238" s="284">
        <f t="shared" si="15"/>
        <v>225793.43214242984</v>
      </c>
      <c r="D238" s="284">
        <f t="shared" si="16"/>
        <v>2271.1560053880094</v>
      </c>
      <c r="E238" s="284">
        <f t="shared" si="17"/>
        <v>1034.8865639861367</v>
      </c>
      <c r="F238" s="284">
        <f t="shared" si="18"/>
        <v>1236.2694414018727</v>
      </c>
      <c r="G238" s="284">
        <f t="shared" si="19"/>
        <v>224557.16270102796</v>
      </c>
    </row>
    <row r="239" spans="1:7">
      <c r="A239" s="142">
        <v>229</v>
      </c>
      <c r="B239" s="254">
        <v>47238</v>
      </c>
      <c r="C239" s="284">
        <f t="shared" si="15"/>
        <v>224557.16270102796</v>
      </c>
      <c r="D239" s="284">
        <f t="shared" si="16"/>
        <v>2271.1560053880094</v>
      </c>
      <c r="E239" s="284">
        <f t="shared" si="17"/>
        <v>1029.2203290463783</v>
      </c>
      <c r="F239" s="284">
        <f t="shared" si="18"/>
        <v>1241.9356763416311</v>
      </c>
      <c r="G239" s="284">
        <f t="shared" si="19"/>
        <v>223315.22702468632</v>
      </c>
    </row>
    <row r="240" spans="1:7">
      <c r="A240" s="142">
        <v>230</v>
      </c>
      <c r="B240" s="254">
        <v>47269</v>
      </c>
      <c r="C240" s="284">
        <f t="shared" si="15"/>
        <v>223315.22702468632</v>
      </c>
      <c r="D240" s="284">
        <f t="shared" si="16"/>
        <v>2271.1560053880094</v>
      </c>
      <c r="E240" s="284">
        <f t="shared" si="17"/>
        <v>1023.5281238631457</v>
      </c>
      <c r="F240" s="284">
        <f t="shared" si="18"/>
        <v>1247.6278815248638</v>
      </c>
      <c r="G240" s="284">
        <f t="shared" si="19"/>
        <v>222067.59914316147</v>
      </c>
    </row>
    <row r="241" spans="1:7">
      <c r="A241" s="142">
        <v>231</v>
      </c>
      <c r="B241" s="254">
        <v>47299</v>
      </c>
      <c r="C241" s="284">
        <f t="shared" si="15"/>
        <v>222067.59914316147</v>
      </c>
      <c r="D241" s="284">
        <f t="shared" si="16"/>
        <v>2271.1560053880094</v>
      </c>
      <c r="E241" s="284">
        <f t="shared" si="17"/>
        <v>1017.8098294061568</v>
      </c>
      <c r="F241" s="284">
        <f t="shared" si="18"/>
        <v>1253.3461759818524</v>
      </c>
      <c r="G241" s="284">
        <f t="shared" si="19"/>
        <v>220814.25296717961</v>
      </c>
    </row>
    <row r="242" spans="1:7">
      <c r="A242" s="142">
        <v>232</v>
      </c>
      <c r="B242" s="254">
        <v>47330</v>
      </c>
      <c r="C242" s="284">
        <f t="shared" si="15"/>
        <v>220814.25296717961</v>
      </c>
      <c r="D242" s="284">
        <f t="shared" si="16"/>
        <v>2271.1560053880094</v>
      </c>
      <c r="E242" s="284">
        <f t="shared" si="17"/>
        <v>1012.0653260995732</v>
      </c>
      <c r="F242" s="284">
        <f t="shared" si="18"/>
        <v>1259.0906792884361</v>
      </c>
      <c r="G242" s="284">
        <f t="shared" si="19"/>
        <v>219555.16228789117</v>
      </c>
    </row>
    <row r="243" spans="1:7">
      <c r="A243" s="142">
        <v>233</v>
      </c>
      <c r="B243" s="254">
        <v>47361</v>
      </c>
      <c r="C243" s="284">
        <f t="shared" si="15"/>
        <v>219555.16228789117</v>
      </c>
      <c r="D243" s="284">
        <f t="shared" si="16"/>
        <v>2271.1560053880094</v>
      </c>
      <c r="E243" s="284">
        <f t="shared" si="17"/>
        <v>1006.2944938195013</v>
      </c>
      <c r="F243" s="284">
        <f t="shared" si="18"/>
        <v>1264.8615115685079</v>
      </c>
      <c r="G243" s="284">
        <f t="shared" si="19"/>
        <v>218290.30077632266</v>
      </c>
    </row>
    <row r="244" spans="1:7">
      <c r="A244" s="142">
        <v>234</v>
      </c>
      <c r="B244" s="254">
        <v>47391</v>
      </c>
      <c r="C244" s="284">
        <f t="shared" si="15"/>
        <v>218290.30077632266</v>
      </c>
      <c r="D244" s="284">
        <f t="shared" si="16"/>
        <v>2271.1560053880094</v>
      </c>
      <c r="E244" s="284">
        <f t="shared" si="17"/>
        <v>1000.4972118914789</v>
      </c>
      <c r="F244" s="284">
        <f t="shared" si="18"/>
        <v>1270.6587934965305</v>
      </c>
      <c r="G244" s="284">
        <f t="shared" si="19"/>
        <v>217019.64198282614</v>
      </c>
    </row>
    <row r="245" spans="1:7">
      <c r="A245" s="142">
        <v>235</v>
      </c>
      <c r="B245" s="254">
        <v>47422</v>
      </c>
      <c r="C245" s="284">
        <f t="shared" si="15"/>
        <v>217019.64198282614</v>
      </c>
      <c r="D245" s="284">
        <f t="shared" si="16"/>
        <v>2271.1560053880094</v>
      </c>
      <c r="E245" s="284">
        <f t="shared" si="17"/>
        <v>994.67335908795314</v>
      </c>
      <c r="F245" s="284">
        <f t="shared" si="18"/>
        <v>1276.4826463000563</v>
      </c>
      <c r="G245" s="284">
        <f t="shared" si="19"/>
        <v>215743.15933652609</v>
      </c>
    </row>
    <row r="246" spans="1:7">
      <c r="A246" s="142">
        <v>236</v>
      </c>
      <c r="B246" s="254">
        <v>47452</v>
      </c>
      <c r="C246" s="284">
        <f t="shared" si="15"/>
        <v>215743.15933652609</v>
      </c>
      <c r="D246" s="284">
        <f t="shared" si="16"/>
        <v>2271.1560053880094</v>
      </c>
      <c r="E246" s="284">
        <f t="shared" si="17"/>
        <v>988.82281362574452</v>
      </c>
      <c r="F246" s="284">
        <f t="shared" si="18"/>
        <v>1282.333191762265</v>
      </c>
      <c r="G246" s="284">
        <f t="shared" si="19"/>
        <v>214460.82614476382</v>
      </c>
    </row>
    <row r="247" spans="1:7">
      <c r="A247" s="142">
        <v>237</v>
      </c>
      <c r="B247" s="254">
        <v>47483</v>
      </c>
      <c r="C247" s="284">
        <f t="shared" si="15"/>
        <v>214460.82614476382</v>
      </c>
      <c r="D247" s="284">
        <f t="shared" si="16"/>
        <v>2271.1560053880094</v>
      </c>
      <c r="E247" s="284">
        <f t="shared" si="17"/>
        <v>982.94545316350093</v>
      </c>
      <c r="F247" s="284">
        <f t="shared" si="18"/>
        <v>1288.2105522245083</v>
      </c>
      <c r="G247" s="284">
        <f t="shared" si="19"/>
        <v>213172.61559253931</v>
      </c>
    </row>
    <row r="248" spans="1:7">
      <c r="A248" s="142">
        <v>238</v>
      </c>
      <c r="B248" s="254">
        <v>47514</v>
      </c>
      <c r="C248" s="284">
        <f t="shared" si="15"/>
        <v>213172.61559253931</v>
      </c>
      <c r="D248" s="284">
        <f t="shared" si="16"/>
        <v>2271.1560053880094</v>
      </c>
      <c r="E248" s="284">
        <f t="shared" si="17"/>
        <v>977.04115479913844</v>
      </c>
      <c r="F248" s="284">
        <f t="shared" si="18"/>
        <v>1294.1148505888709</v>
      </c>
      <c r="G248" s="284">
        <f t="shared" si="19"/>
        <v>211878.50074195044</v>
      </c>
    </row>
    <row r="249" spans="1:7">
      <c r="A249" s="142">
        <v>239</v>
      </c>
      <c r="B249" s="254">
        <v>47542</v>
      </c>
      <c r="C249" s="284">
        <f t="shared" si="15"/>
        <v>211878.50074195044</v>
      </c>
      <c r="D249" s="284">
        <f t="shared" si="16"/>
        <v>2271.1560053880094</v>
      </c>
      <c r="E249" s="284">
        <f t="shared" si="17"/>
        <v>971.1097950672729</v>
      </c>
      <c r="F249" s="284">
        <f t="shared" si="18"/>
        <v>1300.0462103207365</v>
      </c>
      <c r="G249" s="284">
        <f t="shared" si="19"/>
        <v>210578.45453162972</v>
      </c>
    </row>
    <row r="250" spans="1:7">
      <c r="A250" s="142">
        <v>240</v>
      </c>
      <c r="B250" s="254">
        <v>47573</v>
      </c>
      <c r="C250" s="284">
        <f t="shared" si="15"/>
        <v>210578.45453162972</v>
      </c>
      <c r="D250" s="284">
        <f t="shared" si="16"/>
        <v>2271.1560053880094</v>
      </c>
      <c r="E250" s="284">
        <f t="shared" si="17"/>
        <v>965.15124993663619</v>
      </c>
      <c r="F250" s="284">
        <f t="shared" si="18"/>
        <v>1306.0047554513731</v>
      </c>
      <c r="G250" s="284">
        <f t="shared" si="19"/>
        <v>209272.44977617834</v>
      </c>
    </row>
    <row r="251" spans="1:7">
      <c r="A251" s="142">
        <v>241</v>
      </c>
      <c r="B251" s="254">
        <v>47603</v>
      </c>
      <c r="C251" s="284">
        <f t="shared" si="15"/>
        <v>209272.44977617834</v>
      </c>
      <c r="D251" s="284">
        <f t="shared" si="16"/>
        <v>2271.1560053880094</v>
      </c>
      <c r="E251" s="284">
        <f t="shared" si="17"/>
        <v>959.16539480748406</v>
      </c>
      <c r="F251" s="284">
        <f t="shared" si="18"/>
        <v>1311.9906105805253</v>
      </c>
      <c r="G251" s="284">
        <f t="shared" si="19"/>
        <v>207960.45916559783</v>
      </c>
    </row>
    <row r="252" spans="1:7">
      <c r="A252" s="142">
        <v>242</v>
      </c>
      <c r="B252" s="254">
        <v>47634</v>
      </c>
      <c r="C252" s="284">
        <f t="shared" si="15"/>
        <v>207960.45916559783</v>
      </c>
      <c r="D252" s="284">
        <f t="shared" si="16"/>
        <v>2271.1560053880094</v>
      </c>
      <c r="E252" s="284">
        <f t="shared" si="17"/>
        <v>953.15210450898996</v>
      </c>
      <c r="F252" s="284">
        <f t="shared" si="18"/>
        <v>1318.0039008790195</v>
      </c>
      <c r="G252" s="284">
        <f t="shared" si="19"/>
        <v>206642.4552647188</v>
      </c>
    </row>
    <row r="253" spans="1:7">
      <c r="A253" s="142">
        <v>243</v>
      </c>
      <c r="B253" s="254">
        <v>47664</v>
      </c>
      <c r="C253" s="284">
        <f t="shared" si="15"/>
        <v>206642.4552647188</v>
      </c>
      <c r="D253" s="284">
        <f t="shared" si="16"/>
        <v>2271.1560053880094</v>
      </c>
      <c r="E253" s="284">
        <f t="shared" si="17"/>
        <v>947.11125329662775</v>
      </c>
      <c r="F253" s="284">
        <f t="shared" si="18"/>
        <v>1324.0447520913817</v>
      </c>
      <c r="G253" s="284">
        <f t="shared" si="19"/>
        <v>205318.41051262742</v>
      </c>
    </row>
    <row r="254" spans="1:7">
      <c r="A254" s="142">
        <v>244</v>
      </c>
      <c r="B254" s="254">
        <v>47695</v>
      </c>
      <c r="C254" s="284">
        <f t="shared" si="15"/>
        <v>205318.41051262742</v>
      </c>
      <c r="D254" s="284">
        <f t="shared" si="16"/>
        <v>2271.1560053880094</v>
      </c>
      <c r="E254" s="284">
        <f t="shared" si="17"/>
        <v>941.04271484954234</v>
      </c>
      <c r="F254" s="284">
        <f t="shared" si="18"/>
        <v>1330.113290538467</v>
      </c>
      <c r="G254" s="284">
        <f t="shared" si="19"/>
        <v>203988.29722208896</v>
      </c>
    </row>
    <row r="255" spans="1:7">
      <c r="A255" s="142">
        <v>245</v>
      </c>
      <c r="B255" s="254">
        <v>47726</v>
      </c>
      <c r="C255" s="284">
        <f t="shared" si="15"/>
        <v>203988.29722208896</v>
      </c>
      <c r="D255" s="284">
        <f t="shared" si="16"/>
        <v>2271.1560053880094</v>
      </c>
      <c r="E255" s="284">
        <f t="shared" si="17"/>
        <v>934.94636226790772</v>
      </c>
      <c r="F255" s="284">
        <f t="shared" si="18"/>
        <v>1336.2096431201016</v>
      </c>
      <c r="G255" s="284">
        <f t="shared" si="19"/>
        <v>202652.08757896887</v>
      </c>
    </row>
    <row r="256" spans="1:7">
      <c r="A256" s="142">
        <v>246</v>
      </c>
      <c r="B256" s="254">
        <v>47756</v>
      </c>
      <c r="C256" s="284">
        <f t="shared" si="15"/>
        <v>202652.08757896887</v>
      </c>
      <c r="D256" s="284">
        <f t="shared" si="16"/>
        <v>2271.1560053880094</v>
      </c>
      <c r="E256" s="284">
        <f t="shared" si="17"/>
        <v>928.82206807027399</v>
      </c>
      <c r="F256" s="284">
        <f t="shared" si="18"/>
        <v>1342.3339373177355</v>
      </c>
      <c r="G256" s="284">
        <f t="shared" si="19"/>
        <v>201309.75364165113</v>
      </c>
    </row>
    <row r="257" spans="1:7">
      <c r="A257" s="142">
        <v>247</v>
      </c>
      <c r="B257" s="254">
        <v>47787</v>
      </c>
      <c r="C257" s="284">
        <f t="shared" si="15"/>
        <v>201309.75364165113</v>
      </c>
      <c r="D257" s="284">
        <f t="shared" si="16"/>
        <v>2271.1560053880094</v>
      </c>
      <c r="E257" s="284">
        <f t="shared" si="17"/>
        <v>922.66970419090103</v>
      </c>
      <c r="F257" s="284">
        <f t="shared" si="18"/>
        <v>1348.4863011971083</v>
      </c>
      <c r="G257" s="284">
        <f t="shared" si="19"/>
        <v>199961.26734045401</v>
      </c>
    </row>
    <row r="258" spans="1:7">
      <c r="A258" s="142">
        <v>248</v>
      </c>
      <c r="B258" s="254">
        <v>47817</v>
      </c>
      <c r="C258" s="284">
        <f t="shared" si="15"/>
        <v>199961.26734045401</v>
      </c>
      <c r="D258" s="284">
        <f t="shared" si="16"/>
        <v>2271.1560053880094</v>
      </c>
      <c r="E258" s="284">
        <f t="shared" si="17"/>
        <v>916.48914197708098</v>
      </c>
      <c r="F258" s="284">
        <f t="shared" si="18"/>
        <v>1354.6668634109283</v>
      </c>
      <c r="G258" s="284">
        <f t="shared" si="19"/>
        <v>198606.60047704307</v>
      </c>
    </row>
    <row r="259" spans="1:7">
      <c r="A259" s="142">
        <v>249</v>
      </c>
      <c r="B259" s="254">
        <v>47848</v>
      </c>
      <c r="C259" s="284">
        <f t="shared" si="15"/>
        <v>198606.60047704307</v>
      </c>
      <c r="D259" s="284">
        <f t="shared" si="16"/>
        <v>2271.1560053880094</v>
      </c>
      <c r="E259" s="284">
        <f t="shared" si="17"/>
        <v>910.28025218644746</v>
      </c>
      <c r="F259" s="284">
        <f t="shared" si="18"/>
        <v>1360.875753201562</v>
      </c>
      <c r="G259" s="284">
        <f t="shared" si="19"/>
        <v>197245.7247238415</v>
      </c>
    </row>
    <row r="260" spans="1:7">
      <c r="A260" s="142">
        <v>250</v>
      </c>
      <c r="B260" s="254">
        <v>47879</v>
      </c>
      <c r="C260" s="284">
        <f t="shared" si="15"/>
        <v>197245.7247238415</v>
      </c>
      <c r="D260" s="284">
        <f t="shared" si="16"/>
        <v>2271.1560053880094</v>
      </c>
      <c r="E260" s="284">
        <f t="shared" si="17"/>
        <v>904.0429049842736</v>
      </c>
      <c r="F260" s="284">
        <f t="shared" si="18"/>
        <v>1367.1131004037356</v>
      </c>
      <c r="G260" s="284">
        <f t="shared" si="19"/>
        <v>195878.61162343776</v>
      </c>
    </row>
    <row r="261" spans="1:7">
      <c r="A261" s="142">
        <v>251</v>
      </c>
      <c r="B261" s="254">
        <v>47907</v>
      </c>
      <c r="C261" s="284">
        <f t="shared" si="15"/>
        <v>195878.61162343776</v>
      </c>
      <c r="D261" s="284">
        <f t="shared" si="16"/>
        <v>2271.1560053880094</v>
      </c>
      <c r="E261" s="284">
        <f t="shared" si="17"/>
        <v>897.77696994075632</v>
      </c>
      <c r="F261" s="284">
        <f t="shared" si="18"/>
        <v>1373.379035447253</v>
      </c>
      <c r="G261" s="284">
        <f t="shared" si="19"/>
        <v>194505.2325879905</v>
      </c>
    </row>
    <row r="262" spans="1:7">
      <c r="A262" s="142">
        <v>252</v>
      </c>
      <c r="B262" s="254">
        <v>47938</v>
      </c>
      <c r="C262" s="284">
        <f t="shared" si="15"/>
        <v>194505.2325879905</v>
      </c>
      <c r="D262" s="284">
        <f t="shared" si="16"/>
        <v>2271.1560053880094</v>
      </c>
      <c r="E262" s="284">
        <f t="shared" si="17"/>
        <v>891.4823160282898</v>
      </c>
      <c r="F262" s="284">
        <f t="shared" si="18"/>
        <v>1379.6736893597194</v>
      </c>
      <c r="G262" s="284">
        <f t="shared" si="19"/>
        <v>193125.55889863078</v>
      </c>
    </row>
    <row r="263" spans="1:7">
      <c r="A263" s="142">
        <v>253</v>
      </c>
      <c r="B263" s="254">
        <v>47968</v>
      </c>
      <c r="C263" s="284">
        <f t="shared" si="15"/>
        <v>193125.55889863078</v>
      </c>
      <c r="D263" s="284">
        <f t="shared" si="16"/>
        <v>2271.1560053880094</v>
      </c>
      <c r="E263" s="284">
        <f t="shared" si="17"/>
        <v>885.15881161872449</v>
      </c>
      <c r="F263" s="284">
        <f t="shared" si="18"/>
        <v>1385.9971937692849</v>
      </c>
      <c r="G263" s="284">
        <f t="shared" si="19"/>
        <v>191739.56170486149</v>
      </c>
    </row>
    <row r="264" spans="1:7">
      <c r="A264" s="142">
        <v>254</v>
      </c>
      <c r="B264" s="254">
        <v>47999</v>
      </c>
      <c r="C264" s="284">
        <f t="shared" si="15"/>
        <v>191739.56170486149</v>
      </c>
      <c r="D264" s="284">
        <f t="shared" si="16"/>
        <v>2271.1560053880094</v>
      </c>
      <c r="E264" s="284">
        <f t="shared" si="17"/>
        <v>878.80632448061522</v>
      </c>
      <c r="F264" s="284">
        <f t="shared" si="18"/>
        <v>1392.349680907394</v>
      </c>
      <c r="G264" s="284">
        <f t="shared" si="19"/>
        <v>190347.21202395411</v>
      </c>
    </row>
    <row r="265" spans="1:7">
      <c r="A265" s="142">
        <v>255</v>
      </c>
      <c r="B265" s="254">
        <v>48029</v>
      </c>
      <c r="C265" s="284">
        <f t="shared" si="15"/>
        <v>190347.21202395411</v>
      </c>
      <c r="D265" s="284">
        <f t="shared" si="16"/>
        <v>2271.1560053880094</v>
      </c>
      <c r="E265" s="284">
        <f t="shared" si="17"/>
        <v>872.42472177645641</v>
      </c>
      <c r="F265" s="284">
        <f t="shared" si="18"/>
        <v>1398.731283611553</v>
      </c>
      <c r="G265" s="284">
        <f t="shared" si="19"/>
        <v>188948.48074034255</v>
      </c>
    </row>
    <row r="266" spans="1:7">
      <c r="A266" s="142">
        <v>256</v>
      </c>
      <c r="B266" s="254">
        <v>48060</v>
      </c>
      <c r="C266" s="284">
        <f t="shared" si="15"/>
        <v>188948.48074034255</v>
      </c>
      <c r="D266" s="284">
        <f t="shared" si="16"/>
        <v>2271.1560053880094</v>
      </c>
      <c r="E266" s="284">
        <f t="shared" si="17"/>
        <v>866.0138700599033</v>
      </c>
      <c r="F266" s="284">
        <f t="shared" si="18"/>
        <v>1405.1421353281062</v>
      </c>
      <c r="G266" s="284">
        <f t="shared" si="19"/>
        <v>187543.33860501443</v>
      </c>
    </row>
    <row r="267" spans="1:7">
      <c r="A267" s="142">
        <v>257</v>
      </c>
      <c r="B267" s="254">
        <v>48091</v>
      </c>
      <c r="C267" s="284">
        <f t="shared" si="15"/>
        <v>187543.33860501443</v>
      </c>
      <c r="D267" s="284">
        <f t="shared" si="16"/>
        <v>2271.1560053880094</v>
      </c>
      <c r="E267" s="284">
        <f t="shared" si="17"/>
        <v>859.57363527298276</v>
      </c>
      <c r="F267" s="284">
        <f t="shared" si="18"/>
        <v>1411.5823701150266</v>
      </c>
      <c r="G267" s="284">
        <f t="shared" si="19"/>
        <v>186131.7562348994</v>
      </c>
    </row>
    <row r="268" spans="1:7">
      <c r="A268" s="142">
        <v>258</v>
      </c>
      <c r="B268" s="254">
        <v>48121</v>
      </c>
      <c r="C268" s="284">
        <f t="shared" si="15"/>
        <v>186131.7562348994</v>
      </c>
      <c r="D268" s="284">
        <f t="shared" si="16"/>
        <v>2271.1560053880094</v>
      </c>
      <c r="E268" s="284">
        <f t="shared" si="17"/>
        <v>853.10388274328898</v>
      </c>
      <c r="F268" s="284">
        <f t="shared" si="18"/>
        <v>1418.0521226447204</v>
      </c>
      <c r="G268" s="284">
        <f t="shared" si="19"/>
        <v>184713.70411225467</v>
      </c>
    </row>
    <row r="269" spans="1:7">
      <c r="A269" s="142">
        <v>259</v>
      </c>
      <c r="B269" s="254">
        <v>48152</v>
      </c>
      <c r="C269" s="284">
        <f t="shared" ref="C269:C332" si="20">G268</f>
        <v>184713.70411225467</v>
      </c>
      <c r="D269" s="284">
        <f t="shared" ref="D269:D332" si="21">$B$7</f>
        <v>2271.1560053880094</v>
      </c>
      <c r="E269" s="284">
        <f t="shared" ref="E269:E332" si="22">C269*$B$4/12</f>
        <v>846.60447718116723</v>
      </c>
      <c r="F269" s="284">
        <f t="shared" ref="F269:F332" si="23">D269-E269</f>
        <v>1424.5515282068422</v>
      </c>
      <c r="G269" s="284">
        <f t="shared" ref="G269:G332" si="24">C269-F269</f>
        <v>183289.15258404781</v>
      </c>
    </row>
    <row r="270" spans="1:7">
      <c r="A270" s="142">
        <v>260</v>
      </c>
      <c r="B270" s="254">
        <v>48182</v>
      </c>
      <c r="C270" s="284">
        <f t="shared" si="20"/>
        <v>183289.15258404781</v>
      </c>
      <c r="D270" s="284">
        <f t="shared" si="21"/>
        <v>2271.1560053880094</v>
      </c>
      <c r="E270" s="284">
        <f t="shared" si="22"/>
        <v>840.07528267688576</v>
      </c>
      <c r="F270" s="284">
        <f t="shared" si="23"/>
        <v>1431.0807227111236</v>
      </c>
      <c r="G270" s="284">
        <f t="shared" si="24"/>
        <v>181858.07186133668</v>
      </c>
    </row>
    <row r="271" spans="1:7">
      <c r="A271" s="142">
        <v>261</v>
      </c>
      <c r="B271" s="254">
        <v>48213</v>
      </c>
      <c r="C271" s="284">
        <f t="shared" si="20"/>
        <v>181858.07186133668</v>
      </c>
      <c r="D271" s="284">
        <f t="shared" si="21"/>
        <v>2271.1560053880094</v>
      </c>
      <c r="E271" s="284">
        <f t="shared" si="22"/>
        <v>833.51616269779322</v>
      </c>
      <c r="F271" s="284">
        <f t="shared" si="23"/>
        <v>1437.639842690216</v>
      </c>
      <c r="G271" s="284">
        <f t="shared" si="24"/>
        <v>180420.43201864645</v>
      </c>
    </row>
    <row r="272" spans="1:7">
      <c r="A272" s="142">
        <v>262</v>
      </c>
      <c r="B272" s="254">
        <v>48244</v>
      </c>
      <c r="C272" s="284">
        <f t="shared" si="20"/>
        <v>180420.43201864645</v>
      </c>
      <c r="D272" s="284">
        <f t="shared" si="21"/>
        <v>2271.1560053880094</v>
      </c>
      <c r="E272" s="284">
        <f t="shared" si="22"/>
        <v>826.92698008546279</v>
      </c>
      <c r="F272" s="284">
        <f t="shared" si="23"/>
        <v>1444.2290253025467</v>
      </c>
      <c r="G272" s="284">
        <f t="shared" si="24"/>
        <v>178976.2029933439</v>
      </c>
    </row>
    <row r="273" spans="1:7">
      <c r="A273" s="142">
        <v>263</v>
      </c>
      <c r="B273" s="254">
        <v>48273</v>
      </c>
      <c r="C273" s="284">
        <f t="shared" si="20"/>
        <v>178976.2029933439</v>
      </c>
      <c r="D273" s="284">
        <f t="shared" si="21"/>
        <v>2271.1560053880094</v>
      </c>
      <c r="E273" s="284">
        <f t="shared" si="22"/>
        <v>820.30759705282617</v>
      </c>
      <c r="F273" s="284">
        <f t="shared" si="23"/>
        <v>1450.8484083351832</v>
      </c>
      <c r="G273" s="284">
        <f t="shared" si="24"/>
        <v>177525.35458500872</v>
      </c>
    </row>
    <row r="274" spans="1:7">
      <c r="A274" s="142">
        <v>264</v>
      </c>
      <c r="B274" s="254">
        <v>48304</v>
      </c>
      <c r="C274" s="284">
        <f t="shared" si="20"/>
        <v>177525.35458500872</v>
      </c>
      <c r="D274" s="284">
        <f t="shared" si="21"/>
        <v>2271.1560053880094</v>
      </c>
      <c r="E274" s="284">
        <f t="shared" si="22"/>
        <v>813.65787518129002</v>
      </c>
      <c r="F274" s="284">
        <f t="shared" si="23"/>
        <v>1457.4981302067195</v>
      </c>
      <c r="G274" s="284">
        <f t="shared" si="24"/>
        <v>176067.85645480201</v>
      </c>
    </row>
    <row r="275" spans="1:7">
      <c r="A275" s="142">
        <v>265</v>
      </c>
      <c r="B275" s="254">
        <v>48334</v>
      </c>
      <c r="C275" s="284">
        <f t="shared" si="20"/>
        <v>176067.85645480201</v>
      </c>
      <c r="D275" s="284">
        <f t="shared" si="21"/>
        <v>2271.1560053880094</v>
      </c>
      <c r="E275" s="284">
        <f t="shared" si="22"/>
        <v>806.97767541784253</v>
      </c>
      <c r="F275" s="284">
        <f t="shared" si="23"/>
        <v>1464.1783299701669</v>
      </c>
      <c r="G275" s="284">
        <f t="shared" si="24"/>
        <v>174603.67812483184</v>
      </c>
    </row>
    <row r="276" spans="1:7">
      <c r="A276" s="142">
        <v>266</v>
      </c>
      <c r="B276" s="254">
        <v>48365</v>
      </c>
      <c r="C276" s="284">
        <f t="shared" si="20"/>
        <v>174603.67812483184</v>
      </c>
      <c r="D276" s="284">
        <f t="shared" si="21"/>
        <v>2271.1560053880094</v>
      </c>
      <c r="E276" s="284">
        <f t="shared" si="22"/>
        <v>800.26685807214596</v>
      </c>
      <c r="F276" s="284">
        <f t="shared" si="23"/>
        <v>1470.8891473158633</v>
      </c>
      <c r="G276" s="284">
        <f t="shared" si="24"/>
        <v>173132.78897751597</v>
      </c>
    </row>
    <row r="277" spans="1:7">
      <c r="A277" s="142">
        <v>267</v>
      </c>
      <c r="B277" s="254">
        <v>48395</v>
      </c>
      <c r="C277" s="284">
        <f t="shared" si="20"/>
        <v>173132.78897751597</v>
      </c>
      <c r="D277" s="284">
        <f t="shared" si="21"/>
        <v>2271.1560053880094</v>
      </c>
      <c r="E277" s="284">
        <f t="shared" si="22"/>
        <v>793.52528281361492</v>
      </c>
      <c r="F277" s="284">
        <f t="shared" si="23"/>
        <v>1477.6307225743944</v>
      </c>
      <c r="G277" s="284">
        <f t="shared" si="24"/>
        <v>171655.15825494158</v>
      </c>
    </row>
    <row r="278" spans="1:7">
      <c r="A278" s="142">
        <v>268</v>
      </c>
      <c r="B278" s="254">
        <v>48426</v>
      </c>
      <c r="C278" s="284">
        <f t="shared" si="20"/>
        <v>171655.15825494158</v>
      </c>
      <c r="D278" s="284">
        <f t="shared" si="21"/>
        <v>2271.1560053880094</v>
      </c>
      <c r="E278" s="284">
        <f t="shared" si="22"/>
        <v>786.75280866848232</v>
      </c>
      <c r="F278" s="284">
        <f t="shared" si="23"/>
        <v>1484.4031967195269</v>
      </c>
      <c r="G278" s="284">
        <f t="shared" si="24"/>
        <v>170170.75505822204</v>
      </c>
    </row>
    <row r="279" spans="1:7">
      <c r="A279" s="142">
        <v>269</v>
      </c>
      <c r="B279" s="254">
        <v>48457</v>
      </c>
      <c r="C279" s="284">
        <f t="shared" si="20"/>
        <v>170170.75505822204</v>
      </c>
      <c r="D279" s="284">
        <f t="shared" si="21"/>
        <v>2271.1560053880094</v>
      </c>
      <c r="E279" s="284">
        <f t="shared" si="22"/>
        <v>779.94929401685101</v>
      </c>
      <c r="F279" s="284">
        <f t="shared" si="23"/>
        <v>1491.2067113711582</v>
      </c>
      <c r="G279" s="284">
        <f t="shared" si="24"/>
        <v>168679.54834685088</v>
      </c>
    </row>
    <row r="280" spans="1:7">
      <c r="A280" s="142">
        <v>270</v>
      </c>
      <c r="B280" s="254">
        <v>48487</v>
      </c>
      <c r="C280" s="284">
        <f t="shared" si="20"/>
        <v>168679.54834685088</v>
      </c>
      <c r="D280" s="284">
        <f t="shared" si="21"/>
        <v>2271.1560053880094</v>
      </c>
      <c r="E280" s="284">
        <f t="shared" si="22"/>
        <v>773.1145965897332</v>
      </c>
      <c r="F280" s="284">
        <f t="shared" si="23"/>
        <v>1498.0414087982763</v>
      </c>
      <c r="G280" s="284">
        <f t="shared" si="24"/>
        <v>167181.5069380526</v>
      </c>
    </row>
    <row r="281" spans="1:7">
      <c r="A281" s="142">
        <v>271</v>
      </c>
      <c r="B281" s="254">
        <v>48518</v>
      </c>
      <c r="C281" s="284">
        <f t="shared" si="20"/>
        <v>167181.5069380526</v>
      </c>
      <c r="D281" s="284">
        <f t="shared" si="21"/>
        <v>2271.1560053880094</v>
      </c>
      <c r="E281" s="284">
        <f t="shared" si="22"/>
        <v>766.24857346607439</v>
      </c>
      <c r="F281" s="284">
        <f t="shared" si="23"/>
        <v>1504.9074319219349</v>
      </c>
      <c r="G281" s="284">
        <f t="shared" si="24"/>
        <v>165676.59950613067</v>
      </c>
    </row>
    <row r="282" spans="1:7">
      <c r="A282" s="142">
        <v>272</v>
      </c>
      <c r="B282" s="254">
        <v>48548</v>
      </c>
      <c r="C282" s="284">
        <f t="shared" si="20"/>
        <v>165676.59950613067</v>
      </c>
      <c r="D282" s="284">
        <f t="shared" si="21"/>
        <v>2271.1560053880094</v>
      </c>
      <c r="E282" s="284">
        <f t="shared" si="22"/>
        <v>759.35108106976566</v>
      </c>
      <c r="F282" s="284">
        <f t="shared" si="23"/>
        <v>1511.8049243182436</v>
      </c>
      <c r="G282" s="284">
        <f t="shared" si="24"/>
        <v>164164.79458181243</v>
      </c>
    </row>
    <row r="283" spans="1:7">
      <c r="A283" s="142">
        <v>273</v>
      </c>
      <c r="B283" s="254">
        <v>48579</v>
      </c>
      <c r="C283" s="284">
        <f t="shared" si="20"/>
        <v>164164.79458181243</v>
      </c>
      <c r="D283" s="284">
        <f t="shared" si="21"/>
        <v>2271.1560053880094</v>
      </c>
      <c r="E283" s="284">
        <f t="shared" si="22"/>
        <v>752.42197516664021</v>
      </c>
      <c r="F283" s="284">
        <f t="shared" si="23"/>
        <v>1518.7340302213693</v>
      </c>
      <c r="G283" s="284">
        <f t="shared" si="24"/>
        <v>162646.06055159107</v>
      </c>
    </row>
    <row r="284" spans="1:7">
      <c r="A284" s="142">
        <v>274</v>
      </c>
      <c r="B284" s="254">
        <v>48610</v>
      </c>
      <c r="C284" s="284">
        <f t="shared" si="20"/>
        <v>162646.06055159107</v>
      </c>
      <c r="D284" s="284">
        <f t="shared" si="21"/>
        <v>2271.1560053880094</v>
      </c>
      <c r="E284" s="284">
        <f t="shared" si="22"/>
        <v>745.46111086145902</v>
      </c>
      <c r="F284" s="284">
        <f t="shared" si="23"/>
        <v>1525.6948945265503</v>
      </c>
      <c r="G284" s="284">
        <f t="shared" si="24"/>
        <v>161120.36565706451</v>
      </c>
    </row>
    <row r="285" spans="1:7">
      <c r="A285" s="142">
        <v>275</v>
      </c>
      <c r="B285" s="254">
        <v>48638</v>
      </c>
      <c r="C285" s="284">
        <f t="shared" si="20"/>
        <v>161120.36565706451</v>
      </c>
      <c r="D285" s="284">
        <f t="shared" si="21"/>
        <v>2271.1560053880094</v>
      </c>
      <c r="E285" s="284">
        <f t="shared" si="22"/>
        <v>738.46834259487912</v>
      </c>
      <c r="F285" s="284">
        <f t="shared" si="23"/>
        <v>1532.6876627931301</v>
      </c>
      <c r="G285" s="284">
        <f t="shared" si="24"/>
        <v>159587.67799427139</v>
      </c>
    </row>
    <row r="286" spans="1:7">
      <c r="A286" s="142">
        <v>276</v>
      </c>
      <c r="B286" s="254">
        <v>48669</v>
      </c>
      <c r="C286" s="284">
        <f t="shared" si="20"/>
        <v>159587.67799427139</v>
      </c>
      <c r="D286" s="284">
        <f t="shared" si="21"/>
        <v>2271.1560053880094</v>
      </c>
      <c r="E286" s="284">
        <f t="shared" si="22"/>
        <v>731.44352414041066</v>
      </c>
      <c r="F286" s="284">
        <f t="shared" si="23"/>
        <v>1539.7124812475986</v>
      </c>
      <c r="G286" s="284">
        <f t="shared" si="24"/>
        <v>158047.96551302378</v>
      </c>
    </row>
    <row r="287" spans="1:7">
      <c r="A287" s="142">
        <v>277</v>
      </c>
      <c r="B287" s="254">
        <v>48699</v>
      </c>
      <c r="C287" s="284">
        <f t="shared" si="20"/>
        <v>158047.96551302378</v>
      </c>
      <c r="D287" s="284">
        <f t="shared" si="21"/>
        <v>2271.1560053880094</v>
      </c>
      <c r="E287" s="284">
        <f t="shared" si="22"/>
        <v>724.38650860135897</v>
      </c>
      <c r="F287" s="284">
        <f t="shared" si="23"/>
        <v>1546.7694967866505</v>
      </c>
      <c r="G287" s="284">
        <f t="shared" si="24"/>
        <v>156501.19601623714</v>
      </c>
    </row>
    <row r="288" spans="1:7">
      <c r="A288" s="142">
        <v>278</v>
      </c>
      <c r="B288" s="254">
        <v>48730</v>
      </c>
      <c r="C288" s="284">
        <f t="shared" si="20"/>
        <v>156501.19601623714</v>
      </c>
      <c r="D288" s="284">
        <f t="shared" si="21"/>
        <v>2271.1560053880094</v>
      </c>
      <c r="E288" s="284">
        <f t="shared" si="22"/>
        <v>717.29714840775353</v>
      </c>
      <c r="F288" s="284">
        <f t="shared" si="23"/>
        <v>1553.858856980256</v>
      </c>
      <c r="G288" s="284">
        <f t="shared" si="24"/>
        <v>154947.33715925689</v>
      </c>
    </row>
    <row r="289" spans="1:7">
      <c r="A289" s="142">
        <v>279</v>
      </c>
      <c r="B289" s="254">
        <v>48760</v>
      </c>
      <c r="C289" s="284">
        <f t="shared" si="20"/>
        <v>154947.33715925689</v>
      </c>
      <c r="D289" s="284">
        <f t="shared" si="21"/>
        <v>2271.1560053880094</v>
      </c>
      <c r="E289" s="284">
        <f t="shared" si="22"/>
        <v>710.17529531326079</v>
      </c>
      <c r="F289" s="284">
        <f t="shared" si="23"/>
        <v>1560.9807100747485</v>
      </c>
      <c r="G289" s="284">
        <f t="shared" si="24"/>
        <v>153386.35644918215</v>
      </c>
    </row>
    <row r="290" spans="1:7">
      <c r="A290" s="142">
        <v>280</v>
      </c>
      <c r="B290" s="254">
        <v>48791</v>
      </c>
      <c r="C290" s="284">
        <f t="shared" si="20"/>
        <v>153386.35644918215</v>
      </c>
      <c r="D290" s="284">
        <f t="shared" si="21"/>
        <v>2271.1560053880094</v>
      </c>
      <c r="E290" s="284">
        <f t="shared" si="22"/>
        <v>703.02080039208477</v>
      </c>
      <c r="F290" s="284">
        <f t="shared" si="23"/>
        <v>1568.1352049959246</v>
      </c>
      <c r="G290" s="284">
        <f t="shared" si="24"/>
        <v>151818.22124418622</v>
      </c>
    </row>
    <row r="291" spans="1:7">
      <c r="A291" s="142">
        <v>281</v>
      </c>
      <c r="B291" s="254">
        <v>48822</v>
      </c>
      <c r="C291" s="284">
        <f t="shared" si="20"/>
        <v>151818.22124418622</v>
      </c>
      <c r="D291" s="284">
        <f t="shared" si="21"/>
        <v>2271.1560053880094</v>
      </c>
      <c r="E291" s="284">
        <f t="shared" si="22"/>
        <v>695.83351403585357</v>
      </c>
      <c r="F291" s="284">
        <f t="shared" si="23"/>
        <v>1575.3224913521558</v>
      </c>
      <c r="G291" s="284">
        <f t="shared" si="24"/>
        <v>150242.89875283407</v>
      </c>
    </row>
    <row r="292" spans="1:7">
      <c r="A292" s="142">
        <v>282</v>
      </c>
      <c r="B292" s="254">
        <v>48852</v>
      </c>
      <c r="C292" s="284">
        <f t="shared" si="20"/>
        <v>150242.89875283407</v>
      </c>
      <c r="D292" s="284">
        <f t="shared" si="21"/>
        <v>2271.1560053880094</v>
      </c>
      <c r="E292" s="284">
        <f t="shared" si="22"/>
        <v>688.61328595048951</v>
      </c>
      <c r="F292" s="284">
        <f t="shared" si="23"/>
        <v>1582.5427194375197</v>
      </c>
      <c r="G292" s="284">
        <f t="shared" si="24"/>
        <v>148660.35603339656</v>
      </c>
    </row>
    <row r="293" spans="1:7">
      <c r="A293" s="142">
        <v>283</v>
      </c>
      <c r="B293" s="254">
        <v>48883</v>
      </c>
      <c r="C293" s="284">
        <f t="shared" si="20"/>
        <v>148660.35603339656</v>
      </c>
      <c r="D293" s="284">
        <f t="shared" si="21"/>
        <v>2271.1560053880094</v>
      </c>
      <c r="E293" s="284">
        <f t="shared" si="22"/>
        <v>681.35996515306749</v>
      </c>
      <c r="F293" s="284">
        <f t="shared" si="23"/>
        <v>1589.7960402349418</v>
      </c>
      <c r="G293" s="284">
        <f t="shared" si="24"/>
        <v>147070.55999316162</v>
      </c>
    </row>
    <row r="294" spans="1:7">
      <c r="A294" s="142">
        <v>284</v>
      </c>
      <c r="B294" s="254">
        <v>48913</v>
      </c>
      <c r="C294" s="284">
        <f t="shared" si="20"/>
        <v>147070.55999316162</v>
      </c>
      <c r="D294" s="284">
        <f t="shared" si="21"/>
        <v>2271.1560053880094</v>
      </c>
      <c r="E294" s="284">
        <f t="shared" si="22"/>
        <v>674.07339996865744</v>
      </c>
      <c r="F294" s="284">
        <f t="shared" si="23"/>
        <v>1597.0826054193519</v>
      </c>
      <c r="G294" s="284">
        <f t="shared" si="24"/>
        <v>145473.47738774226</v>
      </c>
    </row>
    <row r="295" spans="1:7">
      <c r="A295" s="142">
        <v>285</v>
      </c>
      <c r="B295" s="254">
        <v>48944</v>
      </c>
      <c r="C295" s="284">
        <f t="shared" si="20"/>
        <v>145473.47738774226</v>
      </c>
      <c r="D295" s="284">
        <f t="shared" si="21"/>
        <v>2271.1560053880094</v>
      </c>
      <c r="E295" s="284">
        <f t="shared" si="22"/>
        <v>666.75343802715201</v>
      </c>
      <c r="F295" s="284">
        <f t="shared" si="23"/>
        <v>1604.4025673608573</v>
      </c>
      <c r="G295" s="284">
        <f t="shared" si="24"/>
        <v>143869.07482038139</v>
      </c>
    </row>
    <row r="296" spans="1:7">
      <c r="A296" s="142">
        <v>286</v>
      </c>
      <c r="B296" s="254">
        <v>48975</v>
      </c>
      <c r="C296" s="284">
        <f t="shared" si="20"/>
        <v>143869.07482038139</v>
      </c>
      <c r="D296" s="284">
        <f t="shared" si="21"/>
        <v>2271.1560053880094</v>
      </c>
      <c r="E296" s="284">
        <f t="shared" si="22"/>
        <v>659.39992626008132</v>
      </c>
      <c r="F296" s="284">
        <f t="shared" si="23"/>
        <v>1611.7560791279279</v>
      </c>
      <c r="G296" s="284">
        <f t="shared" si="24"/>
        <v>142257.31874125346</v>
      </c>
    </row>
    <row r="297" spans="1:7">
      <c r="A297" s="142">
        <v>287</v>
      </c>
      <c r="B297" s="254">
        <v>49003</v>
      </c>
      <c r="C297" s="284">
        <f t="shared" si="20"/>
        <v>142257.31874125346</v>
      </c>
      <c r="D297" s="284">
        <f t="shared" si="21"/>
        <v>2271.1560053880094</v>
      </c>
      <c r="E297" s="284">
        <f t="shared" si="22"/>
        <v>652.01271089741169</v>
      </c>
      <c r="F297" s="284">
        <f t="shared" si="23"/>
        <v>1619.1432944905978</v>
      </c>
      <c r="G297" s="284">
        <f t="shared" si="24"/>
        <v>140638.17544676285</v>
      </c>
    </row>
    <row r="298" spans="1:7">
      <c r="A298" s="142">
        <v>288</v>
      </c>
      <c r="B298" s="254">
        <v>49034</v>
      </c>
      <c r="C298" s="284">
        <f t="shared" si="20"/>
        <v>140638.17544676285</v>
      </c>
      <c r="D298" s="284">
        <f t="shared" si="21"/>
        <v>2271.1560053880094</v>
      </c>
      <c r="E298" s="284">
        <f t="shared" si="22"/>
        <v>644.59163746432966</v>
      </c>
      <c r="F298" s="284">
        <f t="shared" si="23"/>
        <v>1626.5643679236796</v>
      </c>
      <c r="G298" s="284">
        <f t="shared" si="24"/>
        <v>139011.61107883917</v>
      </c>
    </row>
    <row r="299" spans="1:7">
      <c r="A299" s="142">
        <v>289</v>
      </c>
      <c r="B299" s="254">
        <v>49064</v>
      </c>
      <c r="C299" s="284">
        <f t="shared" si="20"/>
        <v>139011.61107883917</v>
      </c>
      <c r="D299" s="284">
        <f t="shared" si="21"/>
        <v>2271.1560053880094</v>
      </c>
      <c r="E299" s="284">
        <f t="shared" si="22"/>
        <v>637.13655077801286</v>
      </c>
      <c r="F299" s="284">
        <f t="shared" si="23"/>
        <v>1634.0194546099965</v>
      </c>
      <c r="G299" s="284">
        <f t="shared" si="24"/>
        <v>137377.59162422916</v>
      </c>
    </row>
    <row r="300" spans="1:7">
      <c r="A300" s="142">
        <v>290</v>
      </c>
      <c r="B300" s="254">
        <v>49095</v>
      </c>
      <c r="C300" s="284">
        <f t="shared" si="20"/>
        <v>137377.59162422916</v>
      </c>
      <c r="D300" s="284">
        <f t="shared" si="21"/>
        <v>2271.1560053880094</v>
      </c>
      <c r="E300" s="284">
        <f t="shared" si="22"/>
        <v>629.64729494438359</v>
      </c>
      <c r="F300" s="284">
        <f t="shared" si="23"/>
        <v>1641.5087104436257</v>
      </c>
      <c r="G300" s="284">
        <f t="shared" si="24"/>
        <v>135736.08291378553</v>
      </c>
    </row>
    <row r="301" spans="1:7">
      <c r="A301" s="142">
        <v>291</v>
      </c>
      <c r="B301" s="254">
        <v>49125</v>
      </c>
      <c r="C301" s="284">
        <f t="shared" si="20"/>
        <v>135736.08291378553</v>
      </c>
      <c r="D301" s="284">
        <f t="shared" si="21"/>
        <v>2271.1560053880094</v>
      </c>
      <c r="E301" s="284">
        <f t="shared" si="22"/>
        <v>622.12371335485034</v>
      </c>
      <c r="F301" s="284">
        <f t="shared" si="23"/>
        <v>1649.0322920331591</v>
      </c>
      <c r="G301" s="284">
        <f t="shared" si="24"/>
        <v>134087.05062175237</v>
      </c>
    </row>
    <row r="302" spans="1:7">
      <c r="A302" s="142">
        <v>292</v>
      </c>
      <c r="B302" s="254">
        <v>49156</v>
      </c>
      <c r="C302" s="284">
        <f t="shared" si="20"/>
        <v>134087.05062175237</v>
      </c>
      <c r="D302" s="284">
        <f t="shared" si="21"/>
        <v>2271.1560053880094</v>
      </c>
      <c r="E302" s="284">
        <f t="shared" si="22"/>
        <v>614.56564868303167</v>
      </c>
      <c r="F302" s="284">
        <f t="shared" si="23"/>
        <v>1656.5903567049777</v>
      </c>
      <c r="G302" s="284">
        <f t="shared" si="24"/>
        <v>132430.46026504738</v>
      </c>
    </row>
    <row r="303" spans="1:7">
      <c r="A303" s="142">
        <v>293</v>
      </c>
      <c r="B303" s="254">
        <v>49187</v>
      </c>
      <c r="C303" s="284">
        <f t="shared" si="20"/>
        <v>132430.46026504738</v>
      </c>
      <c r="D303" s="284">
        <f t="shared" si="21"/>
        <v>2271.1560053880094</v>
      </c>
      <c r="E303" s="284">
        <f t="shared" si="22"/>
        <v>606.97294288146725</v>
      </c>
      <c r="F303" s="284">
        <f t="shared" si="23"/>
        <v>1664.1830625065422</v>
      </c>
      <c r="G303" s="284">
        <f t="shared" si="24"/>
        <v>130766.27720254083</v>
      </c>
    </row>
    <row r="304" spans="1:7">
      <c r="A304" s="142">
        <v>294</v>
      </c>
      <c r="B304" s="254">
        <v>49217</v>
      </c>
      <c r="C304" s="284">
        <f t="shared" si="20"/>
        <v>130766.27720254083</v>
      </c>
      <c r="D304" s="284">
        <f t="shared" si="21"/>
        <v>2271.1560053880094</v>
      </c>
      <c r="E304" s="284">
        <f t="shared" si="22"/>
        <v>599.34543717831218</v>
      </c>
      <c r="F304" s="284">
        <f t="shared" si="23"/>
        <v>1671.8105682096971</v>
      </c>
      <c r="G304" s="284">
        <f t="shared" si="24"/>
        <v>129094.46663433114</v>
      </c>
    </row>
    <row r="305" spans="1:7">
      <c r="A305" s="142">
        <v>295</v>
      </c>
      <c r="B305" s="254">
        <v>49248</v>
      </c>
      <c r="C305" s="284">
        <f t="shared" si="20"/>
        <v>129094.46663433114</v>
      </c>
      <c r="D305" s="284">
        <f t="shared" si="21"/>
        <v>2271.1560053880094</v>
      </c>
      <c r="E305" s="284">
        <f t="shared" si="22"/>
        <v>591.6829720740177</v>
      </c>
      <c r="F305" s="284">
        <f t="shared" si="23"/>
        <v>1679.4730333139917</v>
      </c>
      <c r="G305" s="284">
        <f t="shared" si="24"/>
        <v>127414.99360101715</v>
      </c>
    </row>
    <row r="306" spans="1:7">
      <c r="A306" s="142">
        <v>296</v>
      </c>
      <c r="B306" s="254">
        <v>49278</v>
      </c>
      <c r="C306" s="284">
        <f t="shared" si="20"/>
        <v>127414.99360101715</v>
      </c>
      <c r="D306" s="284">
        <f t="shared" si="21"/>
        <v>2271.1560053880094</v>
      </c>
      <c r="E306" s="284">
        <f t="shared" si="22"/>
        <v>583.98538733799535</v>
      </c>
      <c r="F306" s="284">
        <f t="shared" si="23"/>
        <v>1687.1706180500141</v>
      </c>
      <c r="G306" s="284">
        <f t="shared" si="24"/>
        <v>125727.82298296713</v>
      </c>
    </row>
    <row r="307" spans="1:7">
      <c r="A307" s="142">
        <v>297</v>
      </c>
      <c r="B307" s="254">
        <v>49309</v>
      </c>
      <c r="C307" s="284">
        <f t="shared" si="20"/>
        <v>125727.82298296713</v>
      </c>
      <c r="D307" s="284">
        <f t="shared" si="21"/>
        <v>2271.1560053880094</v>
      </c>
      <c r="E307" s="284">
        <f t="shared" si="22"/>
        <v>576.25252200526609</v>
      </c>
      <c r="F307" s="284">
        <f t="shared" si="23"/>
        <v>1694.9034833827432</v>
      </c>
      <c r="G307" s="284">
        <f t="shared" si="24"/>
        <v>124032.91949958439</v>
      </c>
    </row>
    <row r="308" spans="1:7">
      <c r="A308" s="142">
        <v>298</v>
      </c>
      <c r="B308" s="254">
        <v>49340</v>
      </c>
      <c r="C308" s="284">
        <f t="shared" si="20"/>
        <v>124032.91949958439</v>
      </c>
      <c r="D308" s="284">
        <f t="shared" si="21"/>
        <v>2271.1560053880094</v>
      </c>
      <c r="E308" s="284">
        <f t="shared" si="22"/>
        <v>568.48421437309514</v>
      </c>
      <c r="F308" s="284">
        <f t="shared" si="23"/>
        <v>1702.6717910149141</v>
      </c>
      <c r="G308" s="284">
        <f t="shared" si="24"/>
        <v>122330.24770856947</v>
      </c>
    </row>
    <row r="309" spans="1:7">
      <c r="A309" s="142">
        <v>299</v>
      </c>
      <c r="B309" s="254">
        <v>49368</v>
      </c>
      <c r="C309" s="284">
        <f t="shared" si="20"/>
        <v>122330.24770856947</v>
      </c>
      <c r="D309" s="284">
        <f t="shared" si="21"/>
        <v>2271.1560053880094</v>
      </c>
      <c r="E309" s="284">
        <f t="shared" si="22"/>
        <v>560.68030199761006</v>
      </c>
      <c r="F309" s="284">
        <f t="shared" si="23"/>
        <v>1710.4757033903993</v>
      </c>
      <c r="G309" s="284">
        <f t="shared" si="24"/>
        <v>120619.77200517907</v>
      </c>
    </row>
    <row r="310" spans="1:7">
      <c r="A310" s="142">
        <v>300</v>
      </c>
      <c r="B310" s="254">
        <v>49399</v>
      </c>
      <c r="C310" s="284">
        <f t="shared" si="20"/>
        <v>120619.77200517907</v>
      </c>
      <c r="D310" s="284">
        <f t="shared" si="21"/>
        <v>2271.1560053880094</v>
      </c>
      <c r="E310" s="284">
        <f t="shared" si="22"/>
        <v>552.84062169040408</v>
      </c>
      <c r="F310" s="284">
        <f t="shared" si="23"/>
        <v>1718.3153836976053</v>
      </c>
      <c r="G310" s="284">
        <f t="shared" si="24"/>
        <v>118901.45662148145</v>
      </c>
    </row>
    <row r="311" spans="1:7">
      <c r="A311" s="142">
        <v>301</v>
      </c>
      <c r="B311" s="254">
        <v>49429</v>
      </c>
      <c r="C311" s="284">
        <f t="shared" si="20"/>
        <v>118901.45662148145</v>
      </c>
      <c r="D311" s="284">
        <f t="shared" si="21"/>
        <v>2271.1560053880094</v>
      </c>
      <c r="E311" s="284">
        <f t="shared" si="22"/>
        <v>544.96500951512337</v>
      </c>
      <c r="F311" s="284">
        <f t="shared" si="23"/>
        <v>1726.1909958728861</v>
      </c>
      <c r="G311" s="284">
        <f t="shared" si="24"/>
        <v>117175.26562560858</v>
      </c>
    </row>
    <row r="312" spans="1:7">
      <c r="A312" s="142">
        <v>302</v>
      </c>
      <c r="B312" s="254">
        <v>49460</v>
      </c>
      <c r="C312" s="284">
        <f t="shared" si="20"/>
        <v>117175.26562560858</v>
      </c>
      <c r="D312" s="284">
        <f t="shared" si="21"/>
        <v>2271.1560053880094</v>
      </c>
      <c r="E312" s="284">
        <f t="shared" si="22"/>
        <v>537.05330078403938</v>
      </c>
      <c r="F312" s="284">
        <f t="shared" si="23"/>
        <v>1734.1027046039699</v>
      </c>
      <c r="G312" s="284">
        <f t="shared" si="24"/>
        <v>115441.16292100461</v>
      </c>
    </row>
    <row r="313" spans="1:7">
      <c r="A313" s="142">
        <v>303</v>
      </c>
      <c r="B313" s="254">
        <v>49490</v>
      </c>
      <c r="C313" s="284">
        <f t="shared" si="20"/>
        <v>115441.16292100461</v>
      </c>
      <c r="D313" s="284">
        <f t="shared" si="21"/>
        <v>2271.1560053880094</v>
      </c>
      <c r="E313" s="284">
        <f t="shared" si="22"/>
        <v>529.10533005460445</v>
      </c>
      <c r="F313" s="284">
        <f t="shared" si="23"/>
        <v>1742.0506753334048</v>
      </c>
      <c r="G313" s="284">
        <f t="shared" si="24"/>
        <v>113699.1122456712</v>
      </c>
    </row>
    <row r="314" spans="1:7">
      <c r="A314" s="142">
        <v>304</v>
      </c>
      <c r="B314" s="254">
        <v>49521</v>
      </c>
      <c r="C314" s="284">
        <f t="shared" si="20"/>
        <v>113699.1122456712</v>
      </c>
      <c r="D314" s="284">
        <f t="shared" si="21"/>
        <v>2271.1560053880094</v>
      </c>
      <c r="E314" s="284">
        <f t="shared" si="22"/>
        <v>521.12093112599302</v>
      </c>
      <c r="F314" s="284">
        <f t="shared" si="23"/>
        <v>1750.0350742620162</v>
      </c>
      <c r="G314" s="284">
        <f t="shared" si="24"/>
        <v>111949.07717140918</v>
      </c>
    </row>
    <row r="315" spans="1:7">
      <c r="A315" s="142">
        <v>305</v>
      </c>
      <c r="B315" s="254">
        <v>49552</v>
      </c>
      <c r="C315" s="284">
        <f t="shared" si="20"/>
        <v>111949.07717140918</v>
      </c>
      <c r="D315" s="284">
        <f t="shared" si="21"/>
        <v>2271.1560053880094</v>
      </c>
      <c r="E315" s="284">
        <f t="shared" si="22"/>
        <v>513.09993703562543</v>
      </c>
      <c r="F315" s="284">
        <f t="shared" si="23"/>
        <v>1758.056068352384</v>
      </c>
      <c r="G315" s="284">
        <f t="shared" si="24"/>
        <v>110191.0211030568</v>
      </c>
    </row>
    <row r="316" spans="1:7">
      <c r="A316" s="142">
        <v>306</v>
      </c>
      <c r="B316" s="254">
        <v>49582</v>
      </c>
      <c r="C316" s="284">
        <f t="shared" si="20"/>
        <v>110191.0211030568</v>
      </c>
      <c r="D316" s="284">
        <f t="shared" si="21"/>
        <v>2271.1560053880094</v>
      </c>
      <c r="E316" s="284">
        <f t="shared" si="22"/>
        <v>505.04218005567697</v>
      </c>
      <c r="F316" s="284">
        <f t="shared" si="23"/>
        <v>1766.1138253323325</v>
      </c>
      <c r="G316" s="284">
        <f t="shared" si="24"/>
        <v>108424.90727772447</v>
      </c>
    </row>
    <row r="317" spans="1:7">
      <c r="A317" s="142">
        <v>307</v>
      </c>
      <c r="B317" s="254">
        <v>49613</v>
      </c>
      <c r="C317" s="284">
        <f t="shared" si="20"/>
        <v>108424.90727772447</v>
      </c>
      <c r="D317" s="284">
        <f t="shared" si="21"/>
        <v>2271.1560053880094</v>
      </c>
      <c r="E317" s="284">
        <f t="shared" si="22"/>
        <v>496.94749168957054</v>
      </c>
      <c r="F317" s="284">
        <f t="shared" si="23"/>
        <v>1774.2085136984388</v>
      </c>
      <c r="G317" s="284">
        <f t="shared" si="24"/>
        <v>106650.69876402603</v>
      </c>
    </row>
    <row r="318" spans="1:7">
      <c r="A318" s="142">
        <v>308</v>
      </c>
      <c r="B318" s="254">
        <v>49643</v>
      </c>
      <c r="C318" s="284">
        <f t="shared" si="20"/>
        <v>106650.69876402603</v>
      </c>
      <c r="D318" s="284">
        <f t="shared" si="21"/>
        <v>2271.1560053880094</v>
      </c>
      <c r="E318" s="284">
        <f t="shared" si="22"/>
        <v>488.81570266845262</v>
      </c>
      <c r="F318" s="284">
        <f t="shared" si="23"/>
        <v>1782.3403027195568</v>
      </c>
      <c r="G318" s="284">
        <f t="shared" si="24"/>
        <v>104868.35846130647</v>
      </c>
    </row>
    <row r="319" spans="1:7">
      <c r="A319" s="142">
        <v>309</v>
      </c>
      <c r="B319" s="254">
        <v>49674</v>
      </c>
      <c r="C319" s="284">
        <f t="shared" si="20"/>
        <v>104868.35846130647</v>
      </c>
      <c r="D319" s="284">
        <f t="shared" si="21"/>
        <v>2271.1560053880094</v>
      </c>
      <c r="E319" s="284">
        <f t="shared" si="22"/>
        <v>480.6466429476547</v>
      </c>
      <c r="F319" s="284">
        <f t="shared" si="23"/>
        <v>1790.5093624403546</v>
      </c>
      <c r="G319" s="284">
        <f t="shared" si="24"/>
        <v>103077.84909886612</v>
      </c>
    </row>
    <row r="320" spans="1:7">
      <c r="A320" s="142">
        <v>310</v>
      </c>
      <c r="B320" s="254">
        <v>49705</v>
      </c>
      <c r="C320" s="284">
        <f t="shared" si="20"/>
        <v>103077.84909886612</v>
      </c>
      <c r="D320" s="284">
        <f t="shared" si="21"/>
        <v>2271.1560053880094</v>
      </c>
      <c r="E320" s="284">
        <f t="shared" si="22"/>
        <v>472.44014170313636</v>
      </c>
      <c r="F320" s="284">
        <f t="shared" si="23"/>
        <v>1798.7158636848731</v>
      </c>
      <c r="G320" s="284">
        <f t="shared" si="24"/>
        <v>101279.13323518125</v>
      </c>
    </row>
    <row r="321" spans="1:7">
      <c r="A321" s="142">
        <v>311</v>
      </c>
      <c r="B321" s="254">
        <v>49734</v>
      </c>
      <c r="C321" s="284">
        <f t="shared" si="20"/>
        <v>101279.13323518125</v>
      </c>
      <c r="D321" s="284">
        <f t="shared" si="21"/>
        <v>2271.1560053880094</v>
      </c>
      <c r="E321" s="284">
        <f t="shared" si="22"/>
        <v>464.19602732791401</v>
      </c>
      <c r="F321" s="284">
        <f t="shared" si="23"/>
        <v>1806.9599780600954</v>
      </c>
      <c r="G321" s="284">
        <f t="shared" si="24"/>
        <v>99472.173257121147</v>
      </c>
    </row>
    <row r="322" spans="1:7">
      <c r="A322" s="142">
        <v>312</v>
      </c>
      <c r="B322" s="254">
        <v>49765</v>
      </c>
      <c r="C322" s="284">
        <f t="shared" si="20"/>
        <v>99472.173257121147</v>
      </c>
      <c r="D322" s="284">
        <f t="shared" si="21"/>
        <v>2271.1560053880094</v>
      </c>
      <c r="E322" s="284">
        <f t="shared" si="22"/>
        <v>455.91412742847189</v>
      </c>
      <c r="F322" s="284">
        <f t="shared" si="23"/>
        <v>1815.2418779595375</v>
      </c>
      <c r="G322" s="284">
        <f t="shared" si="24"/>
        <v>97656.931379161615</v>
      </c>
    </row>
    <row r="323" spans="1:7">
      <c r="A323" s="142">
        <v>313</v>
      </c>
      <c r="B323" s="254">
        <v>49795</v>
      </c>
      <c r="C323" s="284">
        <f t="shared" si="20"/>
        <v>97656.931379161615</v>
      </c>
      <c r="D323" s="284">
        <f t="shared" si="21"/>
        <v>2271.1560053880094</v>
      </c>
      <c r="E323" s="284">
        <f t="shared" si="22"/>
        <v>447.59426882115741</v>
      </c>
      <c r="F323" s="284">
        <f t="shared" si="23"/>
        <v>1823.561736566852</v>
      </c>
      <c r="G323" s="284">
        <f t="shared" si="24"/>
        <v>95833.369642594756</v>
      </c>
    </row>
    <row r="324" spans="1:7">
      <c r="A324" s="142">
        <v>314</v>
      </c>
      <c r="B324" s="254">
        <v>49826</v>
      </c>
      <c r="C324" s="284">
        <f t="shared" si="20"/>
        <v>95833.369642594756</v>
      </c>
      <c r="D324" s="284">
        <f t="shared" si="21"/>
        <v>2271.1560053880094</v>
      </c>
      <c r="E324" s="284">
        <f t="shared" si="22"/>
        <v>439.23627752855936</v>
      </c>
      <c r="F324" s="284">
        <f t="shared" si="23"/>
        <v>1831.9197278594499</v>
      </c>
      <c r="G324" s="284">
        <f t="shared" si="24"/>
        <v>94001.449914735305</v>
      </c>
    </row>
    <row r="325" spans="1:7">
      <c r="A325" s="142">
        <v>315</v>
      </c>
      <c r="B325" s="254">
        <v>49856</v>
      </c>
      <c r="C325" s="284">
        <f t="shared" si="20"/>
        <v>94001.449914735305</v>
      </c>
      <c r="D325" s="284">
        <f t="shared" si="21"/>
        <v>2271.1560053880094</v>
      </c>
      <c r="E325" s="284">
        <f t="shared" si="22"/>
        <v>430.83997877587012</v>
      </c>
      <c r="F325" s="284">
        <f t="shared" si="23"/>
        <v>1840.3160266121392</v>
      </c>
      <c r="G325" s="284">
        <f t="shared" si="24"/>
        <v>92161.133888123164</v>
      </c>
    </row>
    <row r="326" spans="1:7">
      <c r="A326" s="142">
        <v>316</v>
      </c>
      <c r="B326" s="254">
        <v>49887</v>
      </c>
      <c r="C326" s="284">
        <f t="shared" si="20"/>
        <v>92161.133888123164</v>
      </c>
      <c r="D326" s="284">
        <f t="shared" si="21"/>
        <v>2271.1560053880094</v>
      </c>
      <c r="E326" s="284">
        <f t="shared" si="22"/>
        <v>422.40519698723119</v>
      </c>
      <c r="F326" s="284">
        <f t="shared" si="23"/>
        <v>1848.7508084007782</v>
      </c>
      <c r="G326" s="284">
        <f t="shared" si="24"/>
        <v>90312.383079722393</v>
      </c>
    </row>
    <row r="327" spans="1:7">
      <c r="A327" s="142">
        <v>317</v>
      </c>
      <c r="B327" s="254">
        <v>49918</v>
      </c>
      <c r="C327" s="284">
        <f t="shared" si="20"/>
        <v>90312.383079722393</v>
      </c>
      <c r="D327" s="284">
        <f t="shared" si="21"/>
        <v>2271.1560053880094</v>
      </c>
      <c r="E327" s="284">
        <f t="shared" si="22"/>
        <v>413.93175578206097</v>
      </c>
      <c r="F327" s="284">
        <f t="shared" si="23"/>
        <v>1857.2242496059484</v>
      </c>
      <c r="G327" s="284">
        <f t="shared" si="24"/>
        <v>88455.158830116445</v>
      </c>
    </row>
    <row r="328" spans="1:7">
      <c r="A328" s="142">
        <v>318</v>
      </c>
      <c r="B328" s="254">
        <v>49948</v>
      </c>
      <c r="C328" s="284">
        <f t="shared" si="20"/>
        <v>88455.158830116445</v>
      </c>
      <c r="D328" s="284">
        <f t="shared" si="21"/>
        <v>2271.1560053880094</v>
      </c>
      <c r="E328" s="284">
        <f t="shared" si="22"/>
        <v>405.41947797136703</v>
      </c>
      <c r="F328" s="284">
        <f t="shared" si="23"/>
        <v>1865.7365274166423</v>
      </c>
      <c r="G328" s="284">
        <f t="shared" si="24"/>
        <v>86589.422302699808</v>
      </c>
    </row>
    <row r="329" spans="1:7">
      <c r="A329" s="142">
        <v>319</v>
      </c>
      <c r="B329" s="254">
        <v>49979</v>
      </c>
      <c r="C329" s="284">
        <f t="shared" si="20"/>
        <v>86589.422302699808</v>
      </c>
      <c r="D329" s="284">
        <f t="shared" si="21"/>
        <v>2271.1560053880094</v>
      </c>
      <c r="E329" s="284">
        <f t="shared" si="22"/>
        <v>396.86818555404079</v>
      </c>
      <c r="F329" s="284">
        <f t="shared" si="23"/>
        <v>1874.2878198339686</v>
      </c>
      <c r="G329" s="284">
        <f t="shared" si="24"/>
        <v>84715.134482865833</v>
      </c>
    </row>
    <row r="330" spans="1:7">
      <c r="A330" s="142">
        <v>320</v>
      </c>
      <c r="B330" s="254">
        <v>50009</v>
      </c>
      <c r="C330" s="284">
        <f t="shared" si="20"/>
        <v>84715.134482865833</v>
      </c>
      <c r="D330" s="284">
        <f t="shared" si="21"/>
        <v>2271.1560053880094</v>
      </c>
      <c r="E330" s="284">
        <f t="shared" si="22"/>
        <v>388.27769971313506</v>
      </c>
      <c r="F330" s="284">
        <f t="shared" si="23"/>
        <v>1882.8783056748744</v>
      </c>
      <c r="G330" s="284">
        <f t="shared" si="24"/>
        <v>82832.256177190953</v>
      </c>
    </row>
    <row r="331" spans="1:7">
      <c r="A331" s="142">
        <v>321</v>
      </c>
      <c r="B331" s="254">
        <v>50040</v>
      </c>
      <c r="C331" s="284">
        <f t="shared" si="20"/>
        <v>82832.256177190953</v>
      </c>
      <c r="D331" s="284">
        <f t="shared" si="21"/>
        <v>2271.1560053880094</v>
      </c>
      <c r="E331" s="284">
        <f t="shared" si="22"/>
        <v>379.6478408121252</v>
      </c>
      <c r="F331" s="284">
        <f t="shared" si="23"/>
        <v>1891.5081645758842</v>
      </c>
      <c r="G331" s="284">
        <f t="shared" si="24"/>
        <v>80940.748012615062</v>
      </c>
    </row>
    <row r="332" spans="1:7">
      <c r="A332" s="142">
        <v>322</v>
      </c>
      <c r="B332" s="254">
        <v>50071</v>
      </c>
      <c r="C332" s="284">
        <f t="shared" si="20"/>
        <v>80940.748012615062</v>
      </c>
      <c r="D332" s="284">
        <f t="shared" si="21"/>
        <v>2271.1560053880094</v>
      </c>
      <c r="E332" s="284">
        <f t="shared" si="22"/>
        <v>370.97842839115236</v>
      </c>
      <c r="F332" s="284">
        <f t="shared" si="23"/>
        <v>1900.1775769968569</v>
      </c>
      <c r="G332" s="284">
        <f t="shared" si="24"/>
        <v>79040.57043561821</v>
      </c>
    </row>
    <row r="333" spans="1:7">
      <c r="A333" s="142">
        <v>323</v>
      </c>
      <c r="B333" s="254">
        <v>50099</v>
      </c>
      <c r="C333" s="284">
        <f t="shared" ref="C333:C370" si="25">G332</f>
        <v>79040.57043561821</v>
      </c>
      <c r="D333" s="284">
        <f t="shared" ref="D333:D370" si="26">$B$7</f>
        <v>2271.1560053880094</v>
      </c>
      <c r="E333" s="284">
        <f t="shared" ref="E333:E370" si="27">C333*$B$4/12</f>
        <v>362.26928116325013</v>
      </c>
      <c r="F333" s="284">
        <f t="shared" ref="F333:F370" si="28">D333-E333</f>
        <v>1908.8867242247593</v>
      </c>
      <c r="G333" s="284">
        <f t="shared" ref="G333:G370" si="29">C333-F333</f>
        <v>77131.683711393445</v>
      </c>
    </row>
    <row r="334" spans="1:7">
      <c r="A334" s="142">
        <v>324</v>
      </c>
      <c r="B334" s="254">
        <v>50130</v>
      </c>
      <c r="C334" s="284">
        <f t="shared" si="25"/>
        <v>77131.683711393445</v>
      </c>
      <c r="D334" s="284">
        <f t="shared" si="26"/>
        <v>2271.1560053880094</v>
      </c>
      <c r="E334" s="284">
        <f t="shared" si="27"/>
        <v>353.52021701055332</v>
      </c>
      <c r="F334" s="284">
        <f t="shared" si="28"/>
        <v>1917.635788377456</v>
      </c>
      <c r="G334" s="284">
        <f t="shared" si="29"/>
        <v>75214.047923015984</v>
      </c>
    </row>
    <row r="335" spans="1:7">
      <c r="A335" s="142">
        <v>325</v>
      </c>
      <c r="B335" s="254">
        <v>50160</v>
      </c>
      <c r="C335" s="284">
        <f t="shared" si="25"/>
        <v>75214.047923015984</v>
      </c>
      <c r="D335" s="284">
        <f t="shared" si="26"/>
        <v>2271.1560053880094</v>
      </c>
      <c r="E335" s="284">
        <f t="shared" si="27"/>
        <v>344.73105298048995</v>
      </c>
      <c r="F335" s="284">
        <f t="shared" si="28"/>
        <v>1926.4249524075194</v>
      </c>
      <c r="G335" s="284">
        <f t="shared" si="29"/>
        <v>73287.62297060847</v>
      </c>
    </row>
    <row r="336" spans="1:7">
      <c r="A336" s="142">
        <v>326</v>
      </c>
      <c r="B336" s="254">
        <v>50191</v>
      </c>
      <c r="C336" s="284">
        <f t="shared" si="25"/>
        <v>73287.62297060847</v>
      </c>
      <c r="D336" s="284">
        <f t="shared" si="26"/>
        <v>2271.1560053880094</v>
      </c>
      <c r="E336" s="284">
        <f t="shared" si="27"/>
        <v>335.90160528195548</v>
      </c>
      <c r="F336" s="284">
        <f t="shared" si="28"/>
        <v>1935.2544001060539</v>
      </c>
      <c r="G336" s="284">
        <f t="shared" si="29"/>
        <v>71352.368570502411</v>
      </c>
    </row>
    <row r="337" spans="1:7">
      <c r="A337" s="142">
        <v>327</v>
      </c>
      <c r="B337" s="254">
        <v>50221</v>
      </c>
      <c r="C337" s="284">
        <f t="shared" si="25"/>
        <v>71352.368570502411</v>
      </c>
      <c r="D337" s="284">
        <f t="shared" si="26"/>
        <v>2271.1560053880094</v>
      </c>
      <c r="E337" s="284">
        <f t="shared" si="27"/>
        <v>327.03168928146937</v>
      </c>
      <c r="F337" s="284">
        <f t="shared" si="28"/>
        <v>1944.1243161065399</v>
      </c>
      <c r="G337" s="284">
        <f t="shared" si="29"/>
        <v>69408.244254395875</v>
      </c>
    </row>
    <row r="338" spans="1:7">
      <c r="A338" s="142">
        <v>328</v>
      </c>
      <c r="B338" s="254">
        <v>50252</v>
      </c>
      <c r="C338" s="284">
        <f t="shared" si="25"/>
        <v>69408.244254395875</v>
      </c>
      <c r="D338" s="284">
        <f t="shared" si="26"/>
        <v>2271.1560053880094</v>
      </c>
      <c r="E338" s="284">
        <f t="shared" si="27"/>
        <v>318.12111949931443</v>
      </c>
      <c r="F338" s="284">
        <f t="shared" si="28"/>
        <v>1953.034885888695</v>
      </c>
      <c r="G338" s="284">
        <f t="shared" si="29"/>
        <v>67455.209368507174</v>
      </c>
    </row>
    <row r="339" spans="1:7">
      <c r="A339" s="142">
        <v>329</v>
      </c>
      <c r="B339" s="254">
        <v>50283</v>
      </c>
      <c r="C339" s="284">
        <f t="shared" si="25"/>
        <v>67455.209368507174</v>
      </c>
      <c r="D339" s="284">
        <f t="shared" si="26"/>
        <v>2271.1560053880094</v>
      </c>
      <c r="E339" s="284">
        <f t="shared" si="27"/>
        <v>309.16970960565789</v>
      </c>
      <c r="F339" s="284">
        <f t="shared" si="28"/>
        <v>1961.9862957823516</v>
      </c>
      <c r="G339" s="284">
        <f t="shared" si="29"/>
        <v>65493.223072724824</v>
      </c>
    </row>
    <row r="340" spans="1:7">
      <c r="A340" s="142">
        <v>330</v>
      </c>
      <c r="B340" s="254">
        <v>50313</v>
      </c>
      <c r="C340" s="284">
        <f t="shared" si="25"/>
        <v>65493.223072724824</v>
      </c>
      <c r="D340" s="284">
        <f t="shared" si="26"/>
        <v>2271.1560053880094</v>
      </c>
      <c r="E340" s="284">
        <f t="shared" si="27"/>
        <v>300.17727241665546</v>
      </c>
      <c r="F340" s="284">
        <f t="shared" si="28"/>
        <v>1970.978732971354</v>
      </c>
      <c r="G340" s="284">
        <f t="shared" si="29"/>
        <v>63522.244339753473</v>
      </c>
    </row>
    <row r="341" spans="1:7">
      <c r="A341" s="142">
        <v>331</v>
      </c>
      <c r="B341" s="254">
        <v>50344</v>
      </c>
      <c r="C341" s="284">
        <f t="shared" si="25"/>
        <v>63522.244339753473</v>
      </c>
      <c r="D341" s="284">
        <f t="shared" si="26"/>
        <v>2271.1560053880094</v>
      </c>
      <c r="E341" s="284">
        <f t="shared" si="27"/>
        <v>291.14361989053674</v>
      </c>
      <c r="F341" s="284">
        <f t="shared" si="28"/>
        <v>1980.0123854974727</v>
      </c>
      <c r="G341" s="284">
        <f t="shared" si="29"/>
        <v>61542.231954256</v>
      </c>
    </row>
    <row r="342" spans="1:7">
      <c r="A342" s="142">
        <v>332</v>
      </c>
      <c r="B342" s="254">
        <v>50374</v>
      </c>
      <c r="C342" s="284">
        <f t="shared" si="25"/>
        <v>61542.231954256</v>
      </c>
      <c r="D342" s="284">
        <f t="shared" si="26"/>
        <v>2271.1560053880094</v>
      </c>
      <c r="E342" s="284">
        <f t="shared" si="27"/>
        <v>282.0685631236733</v>
      </c>
      <c r="F342" s="284">
        <f t="shared" si="28"/>
        <v>1989.087442264336</v>
      </c>
      <c r="G342" s="284">
        <f t="shared" si="29"/>
        <v>59553.144511991661</v>
      </c>
    </row>
    <row r="343" spans="1:7">
      <c r="A343" s="142">
        <v>333</v>
      </c>
      <c r="B343" s="254">
        <v>50405</v>
      </c>
      <c r="C343" s="284">
        <f t="shared" si="25"/>
        <v>59553.144511991661</v>
      </c>
      <c r="D343" s="284">
        <f t="shared" si="26"/>
        <v>2271.1560053880094</v>
      </c>
      <c r="E343" s="284">
        <f t="shared" si="27"/>
        <v>272.95191234662843</v>
      </c>
      <c r="F343" s="284">
        <f t="shared" si="28"/>
        <v>1998.2040930413809</v>
      </c>
      <c r="G343" s="284">
        <f t="shared" si="29"/>
        <v>57554.940418950282</v>
      </c>
    </row>
    <row r="344" spans="1:7">
      <c r="A344" s="142">
        <v>334</v>
      </c>
      <c r="B344" s="254">
        <v>50436</v>
      </c>
      <c r="C344" s="284">
        <f t="shared" si="25"/>
        <v>57554.940418950282</v>
      </c>
      <c r="D344" s="284">
        <f t="shared" si="26"/>
        <v>2271.1560053880094</v>
      </c>
      <c r="E344" s="284">
        <f t="shared" si="27"/>
        <v>263.79347692018877</v>
      </c>
      <c r="F344" s="284">
        <f t="shared" si="28"/>
        <v>2007.3625284678205</v>
      </c>
      <c r="G344" s="284">
        <f t="shared" si="29"/>
        <v>55547.577890482462</v>
      </c>
    </row>
    <row r="345" spans="1:7">
      <c r="A345" s="142">
        <v>335</v>
      </c>
      <c r="B345" s="254">
        <v>50464</v>
      </c>
      <c r="C345" s="284">
        <f t="shared" si="25"/>
        <v>55547.577890482462</v>
      </c>
      <c r="D345" s="284">
        <f t="shared" si="26"/>
        <v>2271.1560053880094</v>
      </c>
      <c r="E345" s="284">
        <f t="shared" si="27"/>
        <v>254.59306533137794</v>
      </c>
      <c r="F345" s="284">
        <f t="shared" si="28"/>
        <v>2016.5629400566313</v>
      </c>
      <c r="G345" s="284">
        <f t="shared" si="29"/>
        <v>53531.01495042583</v>
      </c>
    </row>
    <row r="346" spans="1:7">
      <c r="A346" s="142">
        <v>336</v>
      </c>
      <c r="B346" s="254">
        <v>50495</v>
      </c>
      <c r="C346" s="284">
        <f t="shared" si="25"/>
        <v>53531.01495042583</v>
      </c>
      <c r="D346" s="284">
        <f t="shared" si="26"/>
        <v>2271.1560053880094</v>
      </c>
      <c r="E346" s="284">
        <f t="shared" si="27"/>
        <v>245.35048518945175</v>
      </c>
      <c r="F346" s="284">
        <f t="shared" si="28"/>
        <v>2025.8055201985576</v>
      </c>
      <c r="G346" s="284">
        <f t="shared" si="29"/>
        <v>51505.209430227274</v>
      </c>
    </row>
    <row r="347" spans="1:7">
      <c r="A347" s="142">
        <v>337</v>
      </c>
      <c r="B347" s="254">
        <v>50525</v>
      </c>
      <c r="C347" s="284">
        <f t="shared" si="25"/>
        <v>51505.209430227274</v>
      </c>
      <c r="D347" s="284">
        <f t="shared" si="26"/>
        <v>2271.1560053880094</v>
      </c>
      <c r="E347" s="284">
        <f t="shared" si="27"/>
        <v>236.065543221875</v>
      </c>
      <c r="F347" s="284">
        <f t="shared" si="28"/>
        <v>2035.0904621661343</v>
      </c>
      <c r="G347" s="284">
        <f t="shared" si="29"/>
        <v>49470.118968061142</v>
      </c>
    </row>
    <row r="348" spans="1:7">
      <c r="A348" s="142">
        <v>338</v>
      </c>
      <c r="B348" s="254">
        <v>50556</v>
      </c>
      <c r="C348" s="284">
        <f t="shared" si="25"/>
        <v>49470.118968061142</v>
      </c>
      <c r="D348" s="284">
        <f t="shared" si="26"/>
        <v>2271.1560053880094</v>
      </c>
      <c r="E348" s="284">
        <f t="shared" si="27"/>
        <v>226.73804527028025</v>
      </c>
      <c r="F348" s="284">
        <f t="shared" si="28"/>
        <v>2044.4179601177291</v>
      </c>
      <c r="G348" s="284">
        <f t="shared" si="29"/>
        <v>47425.701007943411</v>
      </c>
    </row>
    <row r="349" spans="1:7">
      <c r="A349" s="142">
        <v>339</v>
      </c>
      <c r="B349" s="254">
        <v>50586</v>
      </c>
      <c r="C349" s="284">
        <f t="shared" si="25"/>
        <v>47425.701007943411</v>
      </c>
      <c r="D349" s="284">
        <f t="shared" si="26"/>
        <v>2271.1560053880094</v>
      </c>
      <c r="E349" s="284">
        <f t="shared" si="27"/>
        <v>217.3677962864073</v>
      </c>
      <c r="F349" s="284">
        <f t="shared" si="28"/>
        <v>2053.7882091016022</v>
      </c>
      <c r="G349" s="284">
        <f t="shared" si="29"/>
        <v>45371.912798841811</v>
      </c>
    </row>
    <row r="350" spans="1:7">
      <c r="A350" s="142">
        <v>340</v>
      </c>
      <c r="B350" s="254">
        <v>50617</v>
      </c>
      <c r="C350" s="284">
        <f t="shared" si="25"/>
        <v>45371.912798841811</v>
      </c>
      <c r="D350" s="284">
        <f t="shared" si="26"/>
        <v>2271.1560053880094</v>
      </c>
      <c r="E350" s="284">
        <f t="shared" si="27"/>
        <v>207.95460032802498</v>
      </c>
      <c r="F350" s="284">
        <f t="shared" si="28"/>
        <v>2063.2014050599846</v>
      </c>
      <c r="G350" s="284">
        <f t="shared" si="29"/>
        <v>43308.711393781829</v>
      </c>
    </row>
    <row r="351" spans="1:7">
      <c r="A351" s="142">
        <v>341</v>
      </c>
      <c r="B351" s="254">
        <v>50648</v>
      </c>
      <c r="C351" s="284">
        <f t="shared" si="25"/>
        <v>43308.711393781829</v>
      </c>
      <c r="D351" s="284">
        <f t="shared" si="26"/>
        <v>2271.1560053880094</v>
      </c>
      <c r="E351" s="284">
        <f t="shared" si="27"/>
        <v>198.49826055483337</v>
      </c>
      <c r="F351" s="284">
        <f t="shared" si="28"/>
        <v>2072.6577448331759</v>
      </c>
      <c r="G351" s="284">
        <f t="shared" si="29"/>
        <v>41236.053648948655</v>
      </c>
    </row>
    <row r="352" spans="1:7">
      <c r="A352" s="142">
        <v>342</v>
      </c>
      <c r="B352" s="254">
        <v>50678</v>
      </c>
      <c r="C352" s="284">
        <f t="shared" si="25"/>
        <v>41236.053648948655</v>
      </c>
      <c r="D352" s="284">
        <f t="shared" si="26"/>
        <v>2271.1560053880094</v>
      </c>
      <c r="E352" s="284">
        <f t="shared" si="27"/>
        <v>188.99857922434799</v>
      </c>
      <c r="F352" s="284">
        <f t="shared" si="28"/>
        <v>2082.1574261636615</v>
      </c>
      <c r="G352" s="284">
        <f t="shared" si="29"/>
        <v>39153.896222784992</v>
      </c>
    </row>
    <row r="353" spans="1:7">
      <c r="A353" s="142">
        <v>343</v>
      </c>
      <c r="B353" s="254">
        <v>50709</v>
      </c>
      <c r="C353" s="284">
        <f t="shared" si="25"/>
        <v>39153.896222784992</v>
      </c>
      <c r="D353" s="284">
        <f t="shared" si="26"/>
        <v>2271.1560053880094</v>
      </c>
      <c r="E353" s="284">
        <f t="shared" si="27"/>
        <v>179.45535768776452</v>
      </c>
      <c r="F353" s="284">
        <f t="shared" si="28"/>
        <v>2091.7006477002446</v>
      </c>
      <c r="G353" s="284">
        <f t="shared" si="29"/>
        <v>37062.195575084748</v>
      </c>
    </row>
    <row r="354" spans="1:7">
      <c r="A354" s="142">
        <v>344</v>
      </c>
      <c r="B354" s="254">
        <v>50739</v>
      </c>
      <c r="C354" s="284">
        <f t="shared" si="25"/>
        <v>37062.195575084748</v>
      </c>
      <c r="D354" s="284">
        <f t="shared" si="26"/>
        <v>2271.1560053880094</v>
      </c>
      <c r="E354" s="284">
        <f t="shared" si="27"/>
        <v>169.86839638580508</v>
      </c>
      <c r="F354" s="284">
        <f t="shared" si="28"/>
        <v>2101.2876090022041</v>
      </c>
      <c r="G354" s="284">
        <f t="shared" si="29"/>
        <v>34960.907966082545</v>
      </c>
    </row>
    <row r="355" spans="1:7">
      <c r="A355" s="142">
        <v>345</v>
      </c>
      <c r="B355" s="254">
        <v>50770</v>
      </c>
      <c r="C355" s="284">
        <f t="shared" si="25"/>
        <v>34960.907966082545</v>
      </c>
      <c r="D355" s="284">
        <f t="shared" si="26"/>
        <v>2271.1560053880094</v>
      </c>
      <c r="E355" s="284">
        <f t="shared" si="27"/>
        <v>160.23749484454501</v>
      </c>
      <c r="F355" s="284">
        <f t="shared" si="28"/>
        <v>2110.9185105434644</v>
      </c>
      <c r="G355" s="284">
        <f t="shared" si="29"/>
        <v>32849.989455539078</v>
      </c>
    </row>
    <row r="356" spans="1:7">
      <c r="A356" s="142">
        <v>346</v>
      </c>
      <c r="B356" s="254">
        <v>50801</v>
      </c>
      <c r="C356" s="284">
        <f t="shared" si="25"/>
        <v>32849.989455539078</v>
      </c>
      <c r="D356" s="284">
        <f t="shared" si="26"/>
        <v>2271.1560053880094</v>
      </c>
      <c r="E356" s="284">
        <f t="shared" si="27"/>
        <v>150.56245167122077</v>
      </c>
      <c r="F356" s="284">
        <f t="shared" si="28"/>
        <v>2120.5935537167884</v>
      </c>
      <c r="G356" s="284">
        <f t="shared" si="29"/>
        <v>30729.395901822289</v>
      </c>
    </row>
    <row r="357" spans="1:7">
      <c r="A357" s="142">
        <v>347</v>
      </c>
      <c r="B357" s="254">
        <v>50829</v>
      </c>
      <c r="C357" s="284">
        <f t="shared" si="25"/>
        <v>30729.395901822289</v>
      </c>
      <c r="D357" s="284">
        <f t="shared" si="26"/>
        <v>2271.1560053880094</v>
      </c>
      <c r="E357" s="284">
        <f t="shared" si="27"/>
        <v>140.84306455001882</v>
      </c>
      <c r="F357" s="284">
        <f t="shared" si="28"/>
        <v>2130.3129408379905</v>
      </c>
      <c r="G357" s="284">
        <f t="shared" si="29"/>
        <v>28599.082960984299</v>
      </c>
    </row>
    <row r="358" spans="1:7">
      <c r="A358" s="142">
        <v>348</v>
      </c>
      <c r="B358" s="254">
        <v>50860</v>
      </c>
      <c r="C358" s="284">
        <f t="shared" si="25"/>
        <v>28599.082960984299</v>
      </c>
      <c r="D358" s="284">
        <f t="shared" si="26"/>
        <v>2271.1560053880094</v>
      </c>
      <c r="E358" s="284">
        <f t="shared" si="27"/>
        <v>131.07913023784471</v>
      </c>
      <c r="F358" s="284">
        <f t="shared" si="28"/>
        <v>2140.0768751501646</v>
      </c>
      <c r="G358" s="284">
        <f t="shared" si="29"/>
        <v>26459.006085834135</v>
      </c>
    </row>
    <row r="359" spans="1:7">
      <c r="A359" s="142">
        <v>349</v>
      </c>
      <c r="B359" s="254">
        <v>50890</v>
      </c>
      <c r="C359" s="284">
        <f t="shared" si="25"/>
        <v>26459.006085834135</v>
      </c>
      <c r="D359" s="284">
        <f t="shared" si="26"/>
        <v>2271.1560053880094</v>
      </c>
      <c r="E359" s="284">
        <f t="shared" si="27"/>
        <v>121.27044456007313</v>
      </c>
      <c r="F359" s="284">
        <f t="shared" si="28"/>
        <v>2149.8855608279364</v>
      </c>
      <c r="G359" s="284">
        <f t="shared" si="29"/>
        <v>24309.120525006198</v>
      </c>
    </row>
    <row r="360" spans="1:7">
      <c r="A360" s="142">
        <v>350</v>
      </c>
      <c r="B360" s="254">
        <v>50921</v>
      </c>
      <c r="C360" s="284">
        <f t="shared" si="25"/>
        <v>24309.120525006198</v>
      </c>
      <c r="D360" s="284">
        <f t="shared" si="26"/>
        <v>2271.1560053880094</v>
      </c>
      <c r="E360" s="284">
        <f t="shared" si="27"/>
        <v>111.41680240627841</v>
      </c>
      <c r="F360" s="284">
        <f t="shared" si="28"/>
        <v>2159.7392029817311</v>
      </c>
      <c r="G360" s="284">
        <f t="shared" si="29"/>
        <v>22149.381322024466</v>
      </c>
    </row>
    <row r="361" spans="1:7">
      <c r="A361" s="142">
        <v>351</v>
      </c>
      <c r="B361" s="254">
        <v>50951</v>
      </c>
      <c r="C361" s="284">
        <f t="shared" si="25"/>
        <v>22149.381322024466</v>
      </c>
      <c r="D361" s="284">
        <f t="shared" si="26"/>
        <v>2271.1560053880094</v>
      </c>
      <c r="E361" s="284">
        <f t="shared" si="27"/>
        <v>101.51799772594546</v>
      </c>
      <c r="F361" s="284">
        <f t="shared" si="28"/>
        <v>2169.638007662064</v>
      </c>
      <c r="G361" s="284">
        <f t="shared" si="29"/>
        <v>19979.743314362404</v>
      </c>
    </row>
    <row r="362" spans="1:7">
      <c r="A362" s="142">
        <v>352</v>
      </c>
      <c r="B362" s="254">
        <v>50982</v>
      </c>
      <c r="C362" s="284">
        <f t="shared" si="25"/>
        <v>19979.743314362404</v>
      </c>
      <c r="D362" s="284">
        <f t="shared" si="26"/>
        <v>2271.1560053880094</v>
      </c>
      <c r="E362" s="284">
        <f t="shared" si="27"/>
        <v>91.573823524161014</v>
      </c>
      <c r="F362" s="284">
        <f t="shared" si="28"/>
        <v>2179.5821818638483</v>
      </c>
      <c r="G362" s="284">
        <f t="shared" si="29"/>
        <v>17800.161132498557</v>
      </c>
    </row>
    <row r="363" spans="1:7">
      <c r="A363" s="142">
        <v>353</v>
      </c>
      <c r="B363" s="254">
        <v>51013</v>
      </c>
      <c r="C363" s="284">
        <f t="shared" si="25"/>
        <v>17800.161132498557</v>
      </c>
      <c r="D363" s="284">
        <f t="shared" si="26"/>
        <v>2271.1560053880094</v>
      </c>
      <c r="E363" s="284">
        <f t="shared" si="27"/>
        <v>81.584071857285053</v>
      </c>
      <c r="F363" s="284">
        <f t="shared" si="28"/>
        <v>2189.5719335307244</v>
      </c>
      <c r="G363" s="284">
        <f t="shared" si="29"/>
        <v>15610.589198967833</v>
      </c>
    </row>
    <row r="364" spans="1:7">
      <c r="A364" s="142">
        <v>354</v>
      </c>
      <c r="B364" s="254">
        <v>51043</v>
      </c>
      <c r="C364" s="284">
        <f t="shared" si="25"/>
        <v>15610.589198967833</v>
      </c>
      <c r="D364" s="284">
        <f t="shared" si="26"/>
        <v>2271.1560053880094</v>
      </c>
      <c r="E364" s="284">
        <f t="shared" si="27"/>
        <v>71.548533828602572</v>
      </c>
      <c r="F364" s="284">
        <f t="shared" si="28"/>
        <v>2199.6074715594068</v>
      </c>
      <c r="G364" s="284">
        <f t="shared" si="29"/>
        <v>13410.981727408427</v>
      </c>
    </row>
    <row r="365" spans="1:7">
      <c r="A365" s="142">
        <v>355</v>
      </c>
      <c r="B365" s="254">
        <v>51074</v>
      </c>
      <c r="C365" s="284">
        <f t="shared" si="25"/>
        <v>13410.981727408427</v>
      </c>
      <c r="D365" s="284">
        <f t="shared" si="26"/>
        <v>2271.1560053880094</v>
      </c>
      <c r="E365" s="284">
        <f t="shared" si="27"/>
        <v>61.466999583955293</v>
      </c>
      <c r="F365" s="284">
        <f t="shared" si="28"/>
        <v>2209.689005804054</v>
      </c>
      <c r="G365" s="284">
        <f t="shared" si="29"/>
        <v>11201.292721604374</v>
      </c>
    </row>
    <row r="366" spans="1:7">
      <c r="A366" s="142">
        <v>356</v>
      </c>
      <c r="B366" s="254">
        <v>51104</v>
      </c>
      <c r="C366" s="284">
        <f t="shared" si="25"/>
        <v>11201.292721604374</v>
      </c>
      <c r="D366" s="284">
        <f t="shared" si="26"/>
        <v>2271.1560053880094</v>
      </c>
      <c r="E366" s="284">
        <f t="shared" si="27"/>
        <v>51.339258307353383</v>
      </c>
      <c r="F366" s="284">
        <f t="shared" si="28"/>
        <v>2219.8167470806561</v>
      </c>
      <c r="G366" s="284">
        <f t="shared" si="29"/>
        <v>8981.475974523717</v>
      </c>
    </row>
    <row r="367" spans="1:7">
      <c r="A367" s="142">
        <v>357</v>
      </c>
      <c r="B367" s="254">
        <v>51135</v>
      </c>
      <c r="C367" s="284">
        <f t="shared" si="25"/>
        <v>8981.475974523717</v>
      </c>
      <c r="D367" s="284">
        <f t="shared" si="26"/>
        <v>2271.1560053880094</v>
      </c>
      <c r="E367" s="284">
        <f t="shared" si="27"/>
        <v>41.165098216567038</v>
      </c>
      <c r="F367" s="284">
        <f t="shared" si="28"/>
        <v>2229.9909071714424</v>
      </c>
      <c r="G367" s="284">
        <f t="shared" si="29"/>
        <v>6751.4850673522742</v>
      </c>
    </row>
    <row r="368" spans="1:7">
      <c r="A368" s="142">
        <v>358</v>
      </c>
      <c r="B368" s="254">
        <v>51166</v>
      </c>
      <c r="C368" s="284">
        <f t="shared" si="25"/>
        <v>6751.4850673522742</v>
      </c>
      <c r="D368" s="284">
        <f t="shared" si="26"/>
        <v>2271.1560053880094</v>
      </c>
      <c r="E368" s="284">
        <f t="shared" si="27"/>
        <v>30.944306558697921</v>
      </c>
      <c r="F368" s="284">
        <f t="shared" si="28"/>
        <v>2240.2116988293114</v>
      </c>
      <c r="G368" s="284">
        <f t="shared" si="29"/>
        <v>4511.2733685229632</v>
      </c>
    </row>
    <row r="369" spans="1:7">
      <c r="A369" s="142">
        <v>359</v>
      </c>
      <c r="B369" s="254">
        <v>51195</v>
      </c>
      <c r="C369" s="284">
        <f t="shared" si="25"/>
        <v>4511.2733685229632</v>
      </c>
      <c r="D369" s="284">
        <f t="shared" si="26"/>
        <v>2271.1560053880094</v>
      </c>
      <c r="E369" s="284">
        <f t="shared" si="27"/>
        <v>20.67666960573025</v>
      </c>
      <c r="F369" s="284">
        <f t="shared" si="28"/>
        <v>2250.4793357822791</v>
      </c>
      <c r="G369" s="284">
        <f t="shared" si="29"/>
        <v>2260.7940327406841</v>
      </c>
    </row>
    <row r="370" spans="1:7">
      <c r="A370" s="142">
        <v>360</v>
      </c>
      <c r="B370" s="254">
        <v>51226</v>
      </c>
      <c r="C370" s="284">
        <f t="shared" si="25"/>
        <v>2260.7940327406841</v>
      </c>
      <c r="D370" s="284">
        <f t="shared" si="26"/>
        <v>2271.1560053880094</v>
      </c>
      <c r="E370" s="284">
        <f t="shared" si="27"/>
        <v>10.361972650061469</v>
      </c>
      <c r="F370" s="284">
        <f t="shared" si="28"/>
        <v>2260.7940327379479</v>
      </c>
      <c r="G370" s="284">
        <f t="shared" si="29"/>
        <v>2.7362148102838546E-9</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dimension ref="A1:E41"/>
  <sheetViews>
    <sheetView showGridLines="0" topLeftCell="A19" workbookViewId="0">
      <selection activeCell="F4" sqref="F4"/>
    </sheetView>
  </sheetViews>
  <sheetFormatPr defaultRowHeight="15.75"/>
  <cols>
    <col min="1" max="1" width="26.140625" style="142" customWidth="1"/>
    <col min="2" max="2" width="12.7109375" style="142" bestFit="1" customWidth="1"/>
    <col min="3" max="3" width="9.140625" style="142"/>
    <col min="4" max="4" width="13.85546875" style="161" customWidth="1"/>
    <col min="5" max="16384" width="9.140625" style="142"/>
  </cols>
  <sheetData>
    <row r="1" spans="1:5" ht="30">
      <c r="A1" s="113" t="s">
        <v>1838</v>
      </c>
      <c r="B1" s="114"/>
      <c r="E1" s="638" t="s">
        <v>2056</v>
      </c>
    </row>
    <row r="4" spans="1:5">
      <c r="A4" s="180" t="s">
        <v>25</v>
      </c>
      <c r="B4" s="235">
        <v>6.5000000000000002E-2</v>
      </c>
    </row>
    <row r="5" spans="1:5">
      <c r="A5" s="177"/>
      <c r="B5" s="177"/>
    </row>
    <row r="6" spans="1:5">
      <c r="A6" s="177" t="s">
        <v>1849</v>
      </c>
      <c r="B6" s="279">
        <f>NPV(B4/12,D10:D39)</f>
        <v>82861.520038149654</v>
      </c>
    </row>
    <row r="9" spans="1:5" ht="16.5" thickBot="1">
      <c r="B9" s="280" t="s">
        <v>1016</v>
      </c>
      <c r="D9" s="281" t="s">
        <v>1848</v>
      </c>
    </row>
    <row r="10" spans="1:5">
      <c r="A10" s="142">
        <v>1</v>
      </c>
      <c r="B10" s="254">
        <v>40298</v>
      </c>
      <c r="D10" s="161">
        <v>3000</v>
      </c>
    </row>
    <row r="11" spans="1:5">
      <c r="A11" s="142">
        <v>2</v>
      </c>
      <c r="B11" s="254">
        <v>40329</v>
      </c>
      <c r="D11" s="161">
        <v>3000</v>
      </c>
    </row>
    <row r="12" spans="1:5">
      <c r="A12" s="142">
        <v>3</v>
      </c>
      <c r="B12" s="254">
        <v>40359</v>
      </c>
      <c r="D12" s="161">
        <v>3000</v>
      </c>
    </row>
    <row r="13" spans="1:5">
      <c r="A13" s="142">
        <v>4</v>
      </c>
      <c r="B13" s="254">
        <v>40390</v>
      </c>
      <c r="D13" s="161">
        <v>3000</v>
      </c>
    </row>
    <row r="14" spans="1:5">
      <c r="A14" s="142">
        <v>5</v>
      </c>
      <c r="B14" s="254">
        <v>40421</v>
      </c>
      <c r="D14" s="161">
        <v>3000</v>
      </c>
    </row>
    <row r="15" spans="1:5">
      <c r="A15" s="142">
        <v>6</v>
      </c>
      <c r="B15" s="254">
        <v>40451</v>
      </c>
      <c r="D15" s="161">
        <v>3000</v>
      </c>
    </row>
    <row r="16" spans="1:5">
      <c r="A16" s="142">
        <v>7</v>
      </c>
      <c r="B16" s="254">
        <v>40482</v>
      </c>
      <c r="D16" s="161">
        <v>3000</v>
      </c>
    </row>
    <row r="17" spans="1:4">
      <c r="A17" s="142">
        <v>8</v>
      </c>
      <c r="B17" s="254">
        <v>40512</v>
      </c>
      <c r="D17" s="161">
        <v>3000</v>
      </c>
    </row>
    <row r="18" spans="1:4">
      <c r="A18" s="142">
        <v>9</v>
      </c>
      <c r="B18" s="254">
        <v>40543</v>
      </c>
      <c r="D18" s="161">
        <v>3000</v>
      </c>
    </row>
    <row r="19" spans="1:4">
      <c r="A19" s="142">
        <v>10</v>
      </c>
      <c r="B19" s="254">
        <v>40574</v>
      </c>
      <c r="D19" s="161">
        <v>3000</v>
      </c>
    </row>
    <row r="20" spans="1:4">
      <c r="A20" s="142">
        <v>11</v>
      </c>
      <c r="B20" s="254">
        <v>40602</v>
      </c>
      <c r="D20" s="161">
        <v>3000</v>
      </c>
    </row>
    <row r="21" spans="1:4">
      <c r="A21" s="142">
        <v>12</v>
      </c>
      <c r="B21" s="254">
        <v>40633</v>
      </c>
      <c r="D21" s="161">
        <v>3000</v>
      </c>
    </row>
    <row r="22" spans="1:4">
      <c r="A22" s="142">
        <v>13</v>
      </c>
      <c r="B22" s="254">
        <v>40663</v>
      </c>
      <c r="D22" s="161">
        <v>3000</v>
      </c>
    </row>
    <row r="23" spans="1:4">
      <c r="A23" s="142">
        <v>14</v>
      </c>
      <c r="B23" s="254">
        <v>40694</v>
      </c>
      <c r="D23" s="161">
        <v>3000</v>
      </c>
    </row>
    <row r="24" spans="1:4">
      <c r="A24" s="142">
        <v>15</v>
      </c>
      <c r="B24" s="254">
        <v>40724</v>
      </c>
      <c r="D24" s="161">
        <v>3000</v>
      </c>
    </row>
    <row r="25" spans="1:4">
      <c r="A25" s="142">
        <v>16</v>
      </c>
      <c r="B25" s="254">
        <v>40755</v>
      </c>
      <c r="D25" s="161">
        <v>3000</v>
      </c>
    </row>
    <row r="26" spans="1:4">
      <c r="A26" s="142">
        <v>17</v>
      </c>
      <c r="B26" s="254">
        <v>40786</v>
      </c>
      <c r="D26" s="161">
        <v>3000</v>
      </c>
    </row>
    <row r="27" spans="1:4">
      <c r="A27" s="142">
        <v>18</v>
      </c>
      <c r="B27" s="254">
        <v>40816</v>
      </c>
      <c r="D27" s="161">
        <v>3000</v>
      </c>
    </row>
    <row r="28" spans="1:4">
      <c r="A28" s="142">
        <v>19</v>
      </c>
      <c r="B28" s="254">
        <v>40847</v>
      </c>
      <c r="D28" s="161">
        <v>3000</v>
      </c>
    </row>
    <row r="29" spans="1:4">
      <c r="A29" s="142">
        <v>20</v>
      </c>
      <c r="B29" s="254">
        <v>40877</v>
      </c>
      <c r="D29" s="161">
        <v>3000</v>
      </c>
    </row>
    <row r="30" spans="1:4">
      <c r="A30" s="142">
        <v>21</v>
      </c>
      <c r="B30" s="254">
        <v>40908</v>
      </c>
      <c r="D30" s="161">
        <v>3000</v>
      </c>
    </row>
    <row r="31" spans="1:4">
      <c r="A31" s="142">
        <v>22</v>
      </c>
      <c r="B31" s="254">
        <v>40939</v>
      </c>
      <c r="D31" s="161">
        <v>3000</v>
      </c>
    </row>
    <row r="32" spans="1:4">
      <c r="A32" s="142">
        <v>23</v>
      </c>
      <c r="B32" s="254">
        <v>40968</v>
      </c>
      <c r="D32" s="161">
        <v>3000</v>
      </c>
    </row>
    <row r="33" spans="1:4">
      <c r="A33" s="142">
        <v>24</v>
      </c>
      <c r="B33" s="254">
        <v>40999</v>
      </c>
      <c r="D33" s="161">
        <v>3000</v>
      </c>
    </row>
    <row r="34" spans="1:4">
      <c r="A34" s="142">
        <v>25</v>
      </c>
      <c r="B34" s="254">
        <v>41029</v>
      </c>
      <c r="D34" s="161">
        <v>3000</v>
      </c>
    </row>
    <row r="35" spans="1:4">
      <c r="A35" s="142">
        <v>26</v>
      </c>
      <c r="B35" s="254">
        <v>41060</v>
      </c>
      <c r="D35" s="161">
        <v>3000</v>
      </c>
    </row>
    <row r="36" spans="1:4">
      <c r="A36" s="142">
        <v>27</v>
      </c>
      <c r="B36" s="254">
        <v>41090</v>
      </c>
      <c r="D36" s="161">
        <v>3000</v>
      </c>
    </row>
    <row r="37" spans="1:4">
      <c r="A37" s="142">
        <v>28</v>
      </c>
      <c r="B37" s="254">
        <v>41121</v>
      </c>
      <c r="D37" s="161">
        <v>3000</v>
      </c>
    </row>
    <row r="38" spans="1:4">
      <c r="A38" s="142">
        <v>29</v>
      </c>
      <c r="B38" s="254">
        <v>41152</v>
      </c>
      <c r="D38" s="161">
        <v>3000</v>
      </c>
    </row>
    <row r="39" spans="1:4">
      <c r="A39" s="142">
        <v>30</v>
      </c>
      <c r="B39" s="254">
        <v>41182</v>
      </c>
      <c r="D39" s="161">
        <v>3000</v>
      </c>
    </row>
    <row r="40" spans="1:4" ht="16.5" thickBot="1">
      <c r="D40" s="282">
        <f>SUM(D10:D39)</f>
        <v>90000</v>
      </c>
    </row>
    <row r="41" spans="1:4" ht="16.5" thickTop="1"/>
  </sheetData>
  <pageMargins left="0.7" right="0.7" top="0.75" bottom="0.75" header="0.3" footer="0.3"/>
</worksheet>
</file>

<file path=xl/worksheets/sheet59.xml><?xml version="1.0" encoding="utf-8"?>
<worksheet xmlns="http://schemas.openxmlformats.org/spreadsheetml/2006/main" xmlns:r="http://schemas.openxmlformats.org/officeDocument/2006/relationships">
  <dimension ref="A1:J77"/>
  <sheetViews>
    <sheetView showGridLines="0" workbookViewId="0">
      <selection activeCell="F4" sqref="F4"/>
    </sheetView>
  </sheetViews>
  <sheetFormatPr defaultRowHeight="15.75"/>
  <cols>
    <col min="1" max="1" width="5.42578125" style="142" customWidth="1"/>
    <col min="2" max="2" width="13" style="142" bestFit="1" customWidth="1"/>
    <col min="3" max="3" width="11" style="142" bestFit="1" customWidth="1"/>
    <col min="4" max="4" width="14.28515625" style="142" bestFit="1" customWidth="1"/>
    <col min="5" max="5" width="14.85546875" style="142" bestFit="1" customWidth="1"/>
    <col min="6" max="7" width="18" style="142" bestFit="1" customWidth="1"/>
    <col min="8" max="8" width="15.5703125" style="142" bestFit="1" customWidth="1"/>
    <col min="9" max="9" width="13.7109375" style="142" bestFit="1" customWidth="1"/>
    <col min="10" max="10" width="11" style="142" bestFit="1" customWidth="1"/>
    <col min="11" max="16384" width="9.140625" style="142"/>
  </cols>
  <sheetData>
    <row r="1" spans="1:10" ht="30">
      <c r="A1" s="115" t="s">
        <v>1850</v>
      </c>
      <c r="B1" s="114"/>
      <c r="C1" s="3"/>
      <c r="D1" s="3"/>
      <c r="E1" s="637" t="s">
        <v>2056</v>
      </c>
      <c r="F1" s="3"/>
      <c r="G1" s="3"/>
    </row>
    <row r="2" spans="1:10" ht="30">
      <c r="A2" s="115"/>
      <c r="B2" s="114"/>
      <c r="C2" s="3"/>
      <c r="D2" s="3"/>
      <c r="E2" s="3"/>
      <c r="F2" s="3"/>
      <c r="G2" s="3"/>
    </row>
    <row r="3" spans="1:10" ht="16.5" customHeight="1">
      <c r="A3" s="115"/>
      <c r="B3" s="114"/>
      <c r="C3" s="3"/>
      <c r="D3" s="3"/>
      <c r="E3" s="271" t="s">
        <v>264</v>
      </c>
      <c r="F3" s="277">
        <f>DSUM($B$9:$J$77,5,$E$3:$E$4)</f>
        <v>2065137.4400000002</v>
      </c>
      <c r="G3" s="277">
        <f>DSUM($B$9:$J$77,6,$E$3:$E$4)</f>
        <v>2006200.9264</v>
      </c>
      <c r="H3" s="277">
        <f>DSUM($B$9:$J$77,7,$E$3:$E$4)</f>
        <v>58936.513599999977</v>
      </c>
      <c r="I3" s="277"/>
      <c r="J3" s="277">
        <f>DSUM($B$9:$J$77,9,$E$3:$E$4)</f>
        <v>92</v>
      </c>
    </row>
    <row r="4" spans="1:10" ht="16.5" customHeight="1">
      <c r="A4" s="115"/>
      <c r="B4" s="114"/>
      <c r="C4" s="3"/>
      <c r="D4" s="3"/>
      <c r="E4" s="271" t="s">
        <v>1782</v>
      </c>
      <c r="G4" s="3"/>
    </row>
    <row r="5" spans="1:10" ht="16.5" customHeight="1"/>
    <row r="6" spans="1:10" s="3" customFormat="1" ht="16.5" customHeight="1">
      <c r="B6" s="119" t="s">
        <v>1772</v>
      </c>
      <c r="C6" s="120"/>
      <c r="D6" s="120"/>
      <c r="E6" s="120"/>
      <c r="F6" s="121"/>
      <c r="G6" s="121"/>
      <c r="H6" s="121"/>
      <c r="I6" s="120"/>
      <c r="J6" s="122"/>
    </row>
    <row r="7" spans="1:10" s="3" customFormat="1" ht="18">
      <c r="B7" s="276" t="s">
        <v>1799</v>
      </c>
      <c r="C7" s="124"/>
      <c r="D7" s="124"/>
      <c r="E7" s="124"/>
      <c r="F7" s="125"/>
      <c r="G7" s="125"/>
      <c r="H7" s="125"/>
      <c r="I7" s="124"/>
      <c r="J7" s="126"/>
    </row>
    <row r="8" spans="1:10" s="3" customFormat="1" ht="18" hidden="1">
      <c r="B8" s="127"/>
      <c r="C8" s="128"/>
      <c r="D8" s="128"/>
      <c r="E8" s="128"/>
      <c r="F8" s="129"/>
      <c r="G8" s="129"/>
      <c r="H8" s="129"/>
      <c r="I8" s="128"/>
    </row>
    <row r="9" spans="1:10" s="3" customFormat="1" ht="39" customHeight="1" thickBot="1">
      <c r="B9" s="130" t="s">
        <v>1770</v>
      </c>
      <c r="C9" s="130" t="s">
        <v>176</v>
      </c>
      <c r="D9" s="130" t="s">
        <v>175</v>
      </c>
      <c r="E9" s="130" t="s">
        <v>264</v>
      </c>
      <c r="F9" s="131" t="s">
        <v>1774</v>
      </c>
      <c r="G9" s="131" t="s">
        <v>1775</v>
      </c>
      <c r="H9" s="132" t="s">
        <v>1776</v>
      </c>
      <c r="I9" s="133" t="s">
        <v>1777</v>
      </c>
      <c r="J9" s="133" t="s">
        <v>1778</v>
      </c>
    </row>
    <row r="10" spans="1:10" s="3" customFormat="1" ht="18" customHeight="1">
      <c r="B10" s="134" t="s">
        <v>1771</v>
      </c>
      <c r="C10" s="134" t="s">
        <v>1779</v>
      </c>
      <c r="D10" s="134" t="s">
        <v>1780</v>
      </c>
      <c r="E10" s="134" t="s">
        <v>1781</v>
      </c>
      <c r="F10" s="135">
        <v>47520</v>
      </c>
      <c r="G10" s="135">
        <v>45619.199999999997</v>
      </c>
      <c r="H10" s="135">
        <f t="shared" ref="H10:H73" si="0">F10-G10</f>
        <v>1900.8000000000029</v>
      </c>
      <c r="I10" s="136">
        <v>0.247</v>
      </c>
      <c r="J10" s="137">
        <v>6</v>
      </c>
    </row>
    <row r="11" spans="1:10" s="3" customFormat="1" ht="18" customHeight="1">
      <c r="B11" s="134" t="s">
        <v>1771</v>
      </c>
      <c r="C11" s="134" t="s">
        <v>1779</v>
      </c>
      <c r="D11" s="134" t="s">
        <v>1780</v>
      </c>
      <c r="E11" s="134" t="s">
        <v>1782</v>
      </c>
      <c r="F11" s="135">
        <v>91463.039999999994</v>
      </c>
      <c r="G11" s="135">
        <v>72255.801599999992</v>
      </c>
      <c r="H11" s="135">
        <f t="shared" si="0"/>
        <v>19207.238400000002</v>
      </c>
      <c r="I11" s="136">
        <v>0.35599999999999998</v>
      </c>
      <c r="J11" s="137">
        <v>8</v>
      </c>
    </row>
    <row r="12" spans="1:10" s="3" customFormat="1" ht="18" customHeight="1">
      <c r="B12" s="134" t="s">
        <v>1771</v>
      </c>
      <c r="C12" s="134" t="s">
        <v>1779</v>
      </c>
      <c r="D12" s="134" t="s">
        <v>1780</v>
      </c>
      <c r="E12" s="134" t="s">
        <v>1781</v>
      </c>
      <c r="F12" s="135">
        <v>356040</v>
      </c>
      <c r="G12" s="135">
        <v>259909.2</v>
      </c>
      <c r="H12" s="135">
        <f t="shared" si="0"/>
        <v>96130.799999999988</v>
      </c>
      <c r="I12" s="136">
        <v>0.255</v>
      </c>
      <c r="J12" s="137">
        <v>2</v>
      </c>
    </row>
    <row r="13" spans="1:10" s="3" customFormat="1" ht="18" customHeight="1">
      <c r="B13" s="134" t="s">
        <v>1771</v>
      </c>
      <c r="C13" s="134" t="s">
        <v>1779</v>
      </c>
      <c r="D13" s="134" t="s">
        <v>1780</v>
      </c>
      <c r="E13" s="134" t="s">
        <v>1782</v>
      </c>
      <c r="F13" s="135">
        <v>154275.84</v>
      </c>
      <c r="G13" s="135">
        <v>143476.5312</v>
      </c>
      <c r="H13" s="135">
        <f t="shared" si="0"/>
        <v>10799.308799999999</v>
      </c>
      <c r="I13" s="136">
        <v>0.65</v>
      </c>
      <c r="J13" s="137">
        <v>9</v>
      </c>
    </row>
    <row r="14" spans="1:10" s="3" customFormat="1" ht="18" customHeight="1">
      <c r="B14" s="134" t="s">
        <v>1771</v>
      </c>
      <c r="C14" s="134" t="s">
        <v>1779</v>
      </c>
      <c r="D14" s="134" t="s">
        <v>1780</v>
      </c>
      <c r="E14" s="134" t="s">
        <v>1781</v>
      </c>
      <c r="F14" s="135">
        <v>113923.584</v>
      </c>
      <c r="G14" s="135">
        <v>93417.338879999996</v>
      </c>
      <c r="H14" s="135">
        <f t="shared" si="0"/>
        <v>20506.245120000007</v>
      </c>
      <c r="I14" s="136">
        <v>0.255</v>
      </c>
      <c r="J14" s="137">
        <v>6</v>
      </c>
    </row>
    <row r="15" spans="1:10" s="3" customFormat="1" ht="18" customHeight="1">
      <c r="B15" s="134" t="s">
        <v>1771</v>
      </c>
      <c r="C15" s="134" t="s">
        <v>1779</v>
      </c>
      <c r="D15" s="134" t="s">
        <v>1783</v>
      </c>
      <c r="E15" s="134" t="s">
        <v>1782</v>
      </c>
      <c r="F15" s="135">
        <v>94936.320000000007</v>
      </c>
      <c r="G15" s="135">
        <v>77847.782399999996</v>
      </c>
      <c r="H15" s="135">
        <f t="shared" si="0"/>
        <v>17088.537600000011</v>
      </c>
      <c r="I15" s="136">
        <v>0.315</v>
      </c>
      <c r="J15" s="137">
        <v>9</v>
      </c>
    </row>
    <row r="16" spans="1:10" s="3" customFormat="1" ht="18" customHeight="1">
      <c r="B16" s="134" t="s">
        <v>1771</v>
      </c>
      <c r="C16" s="134" t="s">
        <v>1779</v>
      </c>
      <c r="D16" s="134" t="s">
        <v>1783</v>
      </c>
      <c r="E16" s="134" t="s">
        <v>1781</v>
      </c>
      <c r="F16" s="135">
        <v>90305.279999999999</v>
      </c>
      <c r="G16" s="135">
        <v>70438.118399999992</v>
      </c>
      <c r="H16" s="135">
        <f t="shared" si="0"/>
        <v>19867.161600000007</v>
      </c>
      <c r="I16" s="136">
        <v>0.255</v>
      </c>
      <c r="J16" s="137"/>
    </row>
    <row r="17" spans="2:10" s="3" customFormat="1" ht="18" customHeight="1">
      <c r="B17" s="134" t="s">
        <v>1771</v>
      </c>
      <c r="C17" s="134" t="s">
        <v>1779</v>
      </c>
      <c r="D17" s="134" t="s">
        <v>1783</v>
      </c>
      <c r="E17" s="134" t="s">
        <v>1782</v>
      </c>
      <c r="F17" s="135">
        <v>394275.84000000003</v>
      </c>
      <c r="G17" s="135">
        <v>366676.53120000003</v>
      </c>
      <c r="H17" s="135">
        <f t="shared" si="0"/>
        <v>27599.308799999999</v>
      </c>
      <c r="I17" s="136">
        <v>0.154</v>
      </c>
      <c r="J17" s="137">
        <v>0</v>
      </c>
    </row>
    <row r="18" spans="2:10" s="3" customFormat="1" ht="18" customHeight="1">
      <c r="B18" s="134" t="s">
        <v>1771</v>
      </c>
      <c r="C18" s="134" t="s">
        <v>1779</v>
      </c>
      <c r="D18" s="134" t="s">
        <v>1783</v>
      </c>
      <c r="E18" s="134" t="s">
        <v>1781</v>
      </c>
      <c r="F18" s="135">
        <v>116121.60000000001</v>
      </c>
      <c r="G18" s="135">
        <v>84768.767999999996</v>
      </c>
      <c r="H18" s="135">
        <f t="shared" si="0"/>
        <v>31352.832000000009</v>
      </c>
      <c r="I18" s="136">
        <v>0.13400000000000001</v>
      </c>
      <c r="J18" s="137">
        <v>3</v>
      </c>
    </row>
    <row r="19" spans="2:10" s="3" customFormat="1" ht="18" customHeight="1">
      <c r="B19" s="134" t="s">
        <v>1771</v>
      </c>
      <c r="C19" s="134" t="s">
        <v>1779</v>
      </c>
      <c r="D19" s="134" t="s">
        <v>1784</v>
      </c>
      <c r="E19" s="134" t="s">
        <v>1781</v>
      </c>
      <c r="F19" s="135">
        <v>92620.800000000003</v>
      </c>
      <c r="G19" s="135">
        <v>82432.511999999988</v>
      </c>
      <c r="H19" s="135">
        <f t="shared" si="0"/>
        <v>10188.288000000015</v>
      </c>
      <c r="I19" s="136">
        <v>0.187</v>
      </c>
      <c r="J19" s="137">
        <v>3</v>
      </c>
    </row>
    <row r="20" spans="2:10" s="3" customFormat="1" ht="18" customHeight="1">
      <c r="B20" s="134" t="s">
        <v>1771</v>
      </c>
      <c r="C20" s="134" t="s">
        <v>1779</v>
      </c>
      <c r="D20" s="134" t="s">
        <v>1784</v>
      </c>
      <c r="E20" s="134" t="s">
        <v>1782</v>
      </c>
      <c r="F20" s="135">
        <v>69465.600000000006</v>
      </c>
      <c r="G20" s="135">
        <v>66686.975999999995</v>
      </c>
      <c r="H20" s="135">
        <f t="shared" si="0"/>
        <v>2778.6240000000107</v>
      </c>
      <c r="I20" s="136">
        <v>0.54400000000000004</v>
      </c>
      <c r="J20" s="137">
        <v>9</v>
      </c>
    </row>
    <row r="21" spans="2:10" s="3" customFormat="1" ht="18" customHeight="1">
      <c r="B21" s="134" t="s">
        <v>1771</v>
      </c>
      <c r="C21" s="134" t="s">
        <v>1779</v>
      </c>
      <c r="D21" s="134" t="s">
        <v>1784</v>
      </c>
      <c r="E21" s="134" t="s">
        <v>1781</v>
      </c>
      <c r="F21" s="135">
        <v>261004.79999999999</v>
      </c>
      <c r="G21" s="135">
        <v>221854.07999999999</v>
      </c>
      <c r="H21" s="135">
        <f t="shared" si="0"/>
        <v>39150.720000000001</v>
      </c>
      <c r="I21" s="136">
        <v>0.23300000000000001</v>
      </c>
      <c r="J21" s="137">
        <v>6</v>
      </c>
    </row>
    <row r="22" spans="2:10" s="3" customFormat="1" ht="18" customHeight="1">
      <c r="B22" s="134" t="s">
        <v>1771</v>
      </c>
      <c r="C22" s="134" t="s">
        <v>1779</v>
      </c>
      <c r="D22" s="134" t="s">
        <v>1784</v>
      </c>
      <c r="E22" s="134" t="s">
        <v>1782</v>
      </c>
      <c r="F22" s="135">
        <v>57024</v>
      </c>
      <c r="G22" s="135">
        <v>54743.040000000001</v>
      </c>
      <c r="H22" s="135">
        <f t="shared" si="0"/>
        <v>2280.9599999999991</v>
      </c>
      <c r="I22" s="136">
        <v>0.56399999999999995</v>
      </c>
      <c r="J22" s="137">
        <v>8</v>
      </c>
    </row>
    <row r="23" spans="2:10" s="3" customFormat="1" ht="18" customHeight="1">
      <c r="B23" s="134" t="s">
        <v>1785</v>
      </c>
      <c r="C23" s="134" t="s">
        <v>1786</v>
      </c>
      <c r="D23" s="134" t="s">
        <v>1787</v>
      </c>
      <c r="E23" s="134" t="s">
        <v>1782</v>
      </c>
      <c r="F23" s="135">
        <v>181988</v>
      </c>
      <c r="G23" s="135">
        <v>205646.44</v>
      </c>
      <c r="H23" s="135">
        <f t="shared" si="0"/>
        <v>-23658.440000000002</v>
      </c>
      <c r="I23" s="136">
        <v>0.432</v>
      </c>
      <c r="J23" s="137">
        <v>2</v>
      </c>
    </row>
    <row r="24" spans="2:10" s="3" customFormat="1" ht="18" customHeight="1">
      <c r="B24" s="134" t="s">
        <v>1785</v>
      </c>
      <c r="C24" s="134" t="s">
        <v>1786</v>
      </c>
      <c r="D24" s="134" t="s">
        <v>1787</v>
      </c>
      <c r="E24" s="134" t="s">
        <v>1782</v>
      </c>
      <c r="F24" s="135">
        <v>121197.6</v>
      </c>
      <c r="G24" s="135">
        <v>112713.76800000001</v>
      </c>
      <c r="H24" s="135">
        <f t="shared" si="0"/>
        <v>8483.8319999999949</v>
      </c>
      <c r="I24" s="136">
        <v>0.154</v>
      </c>
      <c r="J24" s="137">
        <v>4</v>
      </c>
    </row>
    <row r="25" spans="2:10" s="3" customFormat="1" ht="18" customHeight="1">
      <c r="B25" s="134" t="s">
        <v>1785</v>
      </c>
      <c r="C25" s="134" t="s">
        <v>1786</v>
      </c>
      <c r="D25" s="134" t="s">
        <v>1787</v>
      </c>
      <c r="E25" s="134" t="s">
        <v>1781</v>
      </c>
      <c r="F25" s="135">
        <v>432900</v>
      </c>
      <c r="G25" s="135">
        <v>367965</v>
      </c>
      <c r="H25" s="135">
        <f t="shared" si="0"/>
        <v>64935</v>
      </c>
      <c r="I25" s="136">
        <v>0.247</v>
      </c>
      <c r="J25" s="137">
        <v>2</v>
      </c>
    </row>
    <row r="26" spans="2:10" s="3" customFormat="1" ht="18" customHeight="1">
      <c r="B26" s="134" t="s">
        <v>1785</v>
      </c>
      <c r="C26" s="134" t="s">
        <v>1786</v>
      </c>
      <c r="D26" s="134" t="s">
        <v>1787</v>
      </c>
      <c r="E26" s="134" t="s">
        <v>1781</v>
      </c>
      <c r="F26" s="135">
        <v>96768</v>
      </c>
      <c r="G26" s="135">
        <v>70640.639999999999</v>
      </c>
      <c r="H26" s="135">
        <f t="shared" si="0"/>
        <v>26127.360000000001</v>
      </c>
      <c r="I26" s="136">
        <v>0.318</v>
      </c>
      <c r="J26" s="137">
        <v>2</v>
      </c>
    </row>
    <row r="27" spans="2:10" s="3" customFormat="1" ht="18" customHeight="1">
      <c r="B27" s="134" t="s">
        <v>1785</v>
      </c>
      <c r="C27" s="134" t="s">
        <v>1788</v>
      </c>
      <c r="D27" s="134" t="s">
        <v>1789</v>
      </c>
      <c r="E27" s="134" t="s">
        <v>1782</v>
      </c>
      <c r="F27" s="135">
        <v>121197.6</v>
      </c>
      <c r="G27" s="135">
        <v>112713.76800000001</v>
      </c>
      <c r="H27" s="135">
        <f t="shared" si="0"/>
        <v>8483.8319999999949</v>
      </c>
      <c r="I27" s="136">
        <v>0.45</v>
      </c>
      <c r="J27" s="137">
        <v>13</v>
      </c>
    </row>
    <row r="28" spans="2:10" s="3" customFormat="1" ht="18" customHeight="1">
      <c r="B28" s="134" t="s">
        <v>1785</v>
      </c>
      <c r="C28" s="134" t="s">
        <v>1788</v>
      </c>
      <c r="D28" s="134" t="s">
        <v>1789</v>
      </c>
      <c r="E28" s="134" t="s">
        <v>1782</v>
      </c>
      <c r="F28" s="135">
        <v>121197.6</v>
      </c>
      <c r="G28" s="135">
        <v>112713.76800000001</v>
      </c>
      <c r="H28" s="135">
        <f t="shared" si="0"/>
        <v>8483.8319999999949</v>
      </c>
      <c r="I28" s="136">
        <v>0.23300000000000001</v>
      </c>
      <c r="J28" s="137"/>
    </row>
    <row r="29" spans="2:10" s="3" customFormat="1" ht="18" customHeight="1">
      <c r="B29" s="134" t="s">
        <v>1785</v>
      </c>
      <c r="C29" s="134" t="s">
        <v>1788</v>
      </c>
      <c r="D29" s="134" t="s">
        <v>1789</v>
      </c>
      <c r="E29" s="134" t="s">
        <v>1782</v>
      </c>
      <c r="F29" s="135">
        <v>110772</v>
      </c>
      <c r="G29" s="135">
        <v>94156.2</v>
      </c>
      <c r="H29" s="135">
        <f t="shared" si="0"/>
        <v>16615.800000000003</v>
      </c>
      <c r="I29" s="136">
        <v>0.39800000000000002</v>
      </c>
      <c r="J29" s="137">
        <v>9</v>
      </c>
    </row>
    <row r="30" spans="2:10" s="3" customFormat="1" ht="18" customHeight="1">
      <c r="B30" s="134" t="s">
        <v>1785</v>
      </c>
      <c r="C30" s="134" t="s">
        <v>1786</v>
      </c>
      <c r="D30" s="134" t="s">
        <v>1790</v>
      </c>
      <c r="E30" s="134" t="s">
        <v>1781</v>
      </c>
      <c r="F30" s="135">
        <v>128563.2</v>
      </c>
      <c r="G30" s="135">
        <v>119563.776</v>
      </c>
      <c r="H30" s="135">
        <f t="shared" si="0"/>
        <v>8999.4239999999991</v>
      </c>
      <c r="I30" s="136">
        <v>0.39800000000000002</v>
      </c>
      <c r="J30" s="137">
        <v>8</v>
      </c>
    </row>
    <row r="31" spans="2:10" s="3" customFormat="1" ht="18" customHeight="1">
      <c r="B31" s="134" t="s">
        <v>1785</v>
      </c>
      <c r="C31" s="134" t="s">
        <v>1786</v>
      </c>
      <c r="D31" s="134" t="s">
        <v>1790</v>
      </c>
      <c r="E31" s="134" t="s">
        <v>1781</v>
      </c>
      <c r="F31" s="135">
        <v>128563.2</v>
      </c>
      <c r="G31" s="135">
        <v>119563.776</v>
      </c>
      <c r="H31" s="135">
        <f t="shared" si="0"/>
        <v>8999.4239999999991</v>
      </c>
      <c r="I31" s="136">
        <v>0.23300000000000001</v>
      </c>
      <c r="J31" s="137">
        <v>1</v>
      </c>
    </row>
    <row r="32" spans="2:10" s="3" customFormat="1" ht="18" customHeight="1">
      <c r="B32" s="134" t="s">
        <v>1785</v>
      </c>
      <c r="C32" s="134" t="s">
        <v>1786</v>
      </c>
      <c r="D32" s="134" t="s">
        <v>1791</v>
      </c>
      <c r="E32" s="134" t="s">
        <v>1781</v>
      </c>
      <c r="F32" s="135">
        <v>76032</v>
      </c>
      <c r="G32" s="135">
        <v>75271.679999999993</v>
      </c>
      <c r="H32" s="135">
        <f t="shared" si="0"/>
        <v>760.32000000000698</v>
      </c>
      <c r="I32" s="136">
        <v>0.65</v>
      </c>
      <c r="J32" s="137">
        <v>4</v>
      </c>
    </row>
    <row r="33" spans="2:10" s="3" customFormat="1" ht="18" customHeight="1">
      <c r="B33" s="134" t="s">
        <v>1785</v>
      </c>
      <c r="C33" s="134" t="s">
        <v>1788</v>
      </c>
      <c r="D33" s="134" t="s">
        <v>1792</v>
      </c>
      <c r="E33" s="134" t="s">
        <v>1782</v>
      </c>
      <c r="F33" s="135">
        <v>110772</v>
      </c>
      <c r="G33" s="135">
        <v>125172.36</v>
      </c>
      <c r="H33" s="135">
        <f t="shared" si="0"/>
        <v>-14400.36</v>
      </c>
      <c r="I33" s="136">
        <v>0.23300000000000001</v>
      </c>
      <c r="J33" s="137"/>
    </row>
    <row r="34" spans="2:10" s="3" customFormat="1" ht="18" customHeight="1">
      <c r="B34" s="134" t="s">
        <v>1785</v>
      </c>
      <c r="C34" s="134" t="s">
        <v>1788</v>
      </c>
      <c r="D34" s="134" t="s">
        <v>1792</v>
      </c>
      <c r="E34" s="134" t="s">
        <v>1782</v>
      </c>
      <c r="F34" s="135">
        <v>110772</v>
      </c>
      <c r="G34" s="135">
        <v>125172.36</v>
      </c>
      <c r="H34" s="135">
        <f t="shared" si="0"/>
        <v>-14400.36</v>
      </c>
      <c r="I34" s="136">
        <v>0.318</v>
      </c>
      <c r="J34" s="137">
        <v>1</v>
      </c>
    </row>
    <row r="35" spans="2:10" s="3" customFormat="1" ht="18" customHeight="1">
      <c r="B35" s="134" t="s">
        <v>1785</v>
      </c>
      <c r="C35" s="134" t="s">
        <v>1788</v>
      </c>
      <c r="D35" s="134" t="s">
        <v>1792</v>
      </c>
      <c r="E35" s="134" t="s">
        <v>1782</v>
      </c>
      <c r="F35" s="135">
        <v>91224</v>
      </c>
      <c r="G35" s="135">
        <v>66593.52</v>
      </c>
      <c r="H35" s="135">
        <f t="shared" si="0"/>
        <v>24630.479999999996</v>
      </c>
      <c r="I35" s="136">
        <v>0.65</v>
      </c>
      <c r="J35" s="137">
        <v>6</v>
      </c>
    </row>
    <row r="36" spans="2:10" s="3" customFormat="1" ht="18" customHeight="1">
      <c r="B36" s="134" t="s">
        <v>1785</v>
      </c>
      <c r="C36" s="134" t="s">
        <v>1788</v>
      </c>
      <c r="D36" s="134" t="s">
        <v>1792</v>
      </c>
      <c r="E36" s="134" t="s">
        <v>1782</v>
      </c>
      <c r="F36" s="135">
        <v>91224</v>
      </c>
      <c r="G36" s="135">
        <v>127713.60000000001</v>
      </c>
      <c r="H36" s="135">
        <f t="shared" si="0"/>
        <v>-36489.600000000006</v>
      </c>
      <c r="I36" s="136">
        <v>0.247</v>
      </c>
      <c r="J36" s="137">
        <v>4</v>
      </c>
    </row>
    <row r="37" spans="2:10" s="3" customFormat="1" ht="18" customHeight="1">
      <c r="B37" s="134" t="s">
        <v>1785</v>
      </c>
      <c r="C37" s="134" t="s">
        <v>1788</v>
      </c>
      <c r="D37" s="134" t="s">
        <v>1792</v>
      </c>
      <c r="E37" s="134" t="s">
        <v>1782</v>
      </c>
      <c r="F37" s="135">
        <v>71676</v>
      </c>
      <c r="G37" s="135">
        <v>70959.240000000005</v>
      </c>
      <c r="H37" s="135">
        <f t="shared" si="0"/>
        <v>716.75999999999476</v>
      </c>
      <c r="I37" s="136">
        <v>0.13400000000000001</v>
      </c>
      <c r="J37" s="137">
        <v>9</v>
      </c>
    </row>
    <row r="38" spans="2:10" s="3" customFormat="1" ht="18" customHeight="1">
      <c r="B38" s="134" t="s">
        <v>1785</v>
      </c>
      <c r="C38" s="134" t="s">
        <v>1788</v>
      </c>
      <c r="D38" s="134" t="s">
        <v>1792</v>
      </c>
      <c r="E38" s="134" t="s">
        <v>1781</v>
      </c>
      <c r="F38" s="135">
        <v>217504</v>
      </c>
      <c r="G38" s="135">
        <v>184878.4</v>
      </c>
      <c r="H38" s="135">
        <f t="shared" si="0"/>
        <v>32625.600000000006</v>
      </c>
      <c r="I38" s="136">
        <v>0.23300000000000001</v>
      </c>
      <c r="J38" s="137">
        <v>9</v>
      </c>
    </row>
    <row r="39" spans="2:10" s="3" customFormat="1" ht="18" customHeight="1">
      <c r="B39" s="134" t="s">
        <v>1785</v>
      </c>
      <c r="C39" s="134" t="s">
        <v>1788</v>
      </c>
      <c r="D39" s="134" t="s">
        <v>1792</v>
      </c>
      <c r="E39" s="134" t="s">
        <v>1781</v>
      </c>
      <c r="F39" s="135">
        <v>128563.2</v>
      </c>
      <c r="G39" s="135">
        <v>119563.776</v>
      </c>
      <c r="H39" s="135">
        <f t="shared" si="0"/>
        <v>8999.4239999999991</v>
      </c>
      <c r="I39" s="136">
        <v>0.154</v>
      </c>
      <c r="J39" s="137">
        <v>3</v>
      </c>
    </row>
    <row r="40" spans="2:10" s="3" customFormat="1" ht="18" customHeight="1">
      <c r="B40" s="134" t="s">
        <v>1793</v>
      </c>
      <c r="C40" s="134" t="s">
        <v>1779</v>
      </c>
      <c r="D40" s="134" t="s">
        <v>1780</v>
      </c>
      <c r="E40" s="134" t="s">
        <v>1794</v>
      </c>
      <c r="F40" s="135">
        <v>94936.320000000007</v>
      </c>
      <c r="G40" s="135">
        <v>77847.782399999996</v>
      </c>
      <c r="H40" s="135">
        <f t="shared" si="0"/>
        <v>17088.537600000011</v>
      </c>
      <c r="I40" s="136">
        <v>0.56399999999999995</v>
      </c>
      <c r="J40" s="137">
        <v>8</v>
      </c>
    </row>
    <row r="41" spans="2:10" s="3" customFormat="1" ht="18" customHeight="1">
      <c r="B41" s="134" t="s">
        <v>1793</v>
      </c>
      <c r="C41" s="134" t="s">
        <v>1779</v>
      </c>
      <c r="D41" s="134" t="s">
        <v>1780</v>
      </c>
      <c r="E41" s="134" t="s">
        <v>1795</v>
      </c>
      <c r="F41" s="135">
        <v>90305.279999999999</v>
      </c>
      <c r="G41" s="135">
        <v>70438.118399999992</v>
      </c>
      <c r="H41" s="135">
        <f t="shared" si="0"/>
        <v>19867.161600000007</v>
      </c>
      <c r="I41" s="138">
        <v>0.26500000000000001</v>
      </c>
      <c r="J41" s="137">
        <v>2</v>
      </c>
    </row>
    <row r="42" spans="2:10" s="3" customFormat="1" ht="18" customHeight="1">
      <c r="B42" s="134" t="s">
        <v>1793</v>
      </c>
      <c r="C42" s="134" t="s">
        <v>1779</v>
      </c>
      <c r="D42" s="134" t="s">
        <v>1780</v>
      </c>
      <c r="E42" s="134" t="s">
        <v>1794</v>
      </c>
      <c r="F42" s="135">
        <v>519480</v>
      </c>
      <c r="G42" s="135">
        <v>441558</v>
      </c>
      <c r="H42" s="135">
        <f t="shared" si="0"/>
        <v>77922</v>
      </c>
      <c r="I42" s="136">
        <v>0.39800000000000002</v>
      </c>
      <c r="J42" s="137">
        <v>6</v>
      </c>
    </row>
    <row r="43" spans="2:10" s="3" customFormat="1" ht="18" customHeight="1">
      <c r="B43" s="134" t="s">
        <v>1793</v>
      </c>
      <c r="C43" s="134" t="s">
        <v>1779</v>
      </c>
      <c r="D43" s="134" t="s">
        <v>1780</v>
      </c>
      <c r="E43" s="134" t="s">
        <v>1795</v>
      </c>
      <c r="F43" s="135">
        <v>91238.399999999994</v>
      </c>
      <c r="G43" s="135">
        <v>90326.015999999989</v>
      </c>
      <c r="H43" s="135">
        <f t="shared" si="0"/>
        <v>912.38400000000547</v>
      </c>
      <c r="I43" s="136">
        <v>0.315</v>
      </c>
      <c r="J43" s="137">
        <v>9</v>
      </c>
    </row>
    <row r="44" spans="2:10" s="3" customFormat="1" ht="18" customHeight="1">
      <c r="B44" s="134" t="s">
        <v>1793</v>
      </c>
      <c r="C44" s="134" t="s">
        <v>1779</v>
      </c>
      <c r="D44" s="134" t="s">
        <v>1783</v>
      </c>
      <c r="E44" s="134" t="s">
        <v>1795</v>
      </c>
      <c r="F44" s="135">
        <v>92620.800000000003</v>
      </c>
      <c r="G44" s="135">
        <v>104661.504</v>
      </c>
      <c r="H44" s="135">
        <f t="shared" si="0"/>
        <v>-12040.703999999998</v>
      </c>
      <c r="I44" s="136">
        <v>0.255</v>
      </c>
      <c r="J44" s="137">
        <v>9</v>
      </c>
    </row>
    <row r="45" spans="2:10" s="3" customFormat="1" ht="18" customHeight="1">
      <c r="B45" s="134" t="s">
        <v>1793</v>
      </c>
      <c r="C45" s="134" t="s">
        <v>1779</v>
      </c>
      <c r="D45" s="134" t="s">
        <v>1783</v>
      </c>
      <c r="E45" s="134" t="s">
        <v>1794</v>
      </c>
      <c r="F45" s="135">
        <v>69465.600000000006</v>
      </c>
      <c r="G45" s="135">
        <v>66686.975999999995</v>
      </c>
      <c r="H45" s="135">
        <f t="shared" si="0"/>
        <v>2778.6240000000107</v>
      </c>
      <c r="I45" s="136">
        <v>0.56399999999999995</v>
      </c>
      <c r="J45" s="137">
        <v>8</v>
      </c>
    </row>
    <row r="46" spans="2:10" s="3" customFormat="1" ht="18" customHeight="1">
      <c r="B46" s="134" t="s">
        <v>1793</v>
      </c>
      <c r="C46" s="134" t="s">
        <v>1779</v>
      </c>
      <c r="D46" s="134" t="s">
        <v>1783</v>
      </c>
      <c r="E46" s="134" t="s">
        <v>1795</v>
      </c>
      <c r="F46" s="135">
        <v>154275.84</v>
      </c>
      <c r="G46" s="135">
        <v>143476.5312</v>
      </c>
      <c r="H46" s="135">
        <f t="shared" si="0"/>
        <v>10799.308799999999</v>
      </c>
      <c r="I46" s="136">
        <v>0.318</v>
      </c>
      <c r="J46" s="137">
        <v>4</v>
      </c>
    </row>
    <row r="47" spans="2:10" s="3" customFormat="1" ht="18" customHeight="1">
      <c r="B47" s="134" t="s">
        <v>1793</v>
      </c>
      <c r="C47" s="134" t="s">
        <v>1779</v>
      </c>
      <c r="D47" s="134" t="s">
        <v>1783</v>
      </c>
      <c r="E47" s="134" t="s">
        <v>1794</v>
      </c>
      <c r="F47" s="135">
        <v>113923.584</v>
      </c>
      <c r="G47" s="135">
        <v>93417.338879999996</v>
      </c>
      <c r="H47" s="135">
        <f t="shared" si="0"/>
        <v>20506.245120000007</v>
      </c>
      <c r="I47" s="136">
        <v>0.187</v>
      </c>
      <c r="J47" s="137">
        <v>5</v>
      </c>
    </row>
    <row r="48" spans="2:10" s="3" customFormat="1" ht="18" customHeight="1">
      <c r="B48" s="134" t="s">
        <v>1793</v>
      </c>
      <c r="C48" s="134" t="s">
        <v>1779</v>
      </c>
      <c r="D48" s="134" t="s">
        <v>1784</v>
      </c>
      <c r="E48" s="134" t="s">
        <v>1795</v>
      </c>
      <c r="F48" s="135">
        <v>94936.320000000007</v>
      </c>
      <c r="G48" s="135">
        <v>77847.782399999996</v>
      </c>
      <c r="H48" s="135">
        <f t="shared" si="0"/>
        <v>17088.537600000011</v>
      </c>
      <c r="I48" s="136">
        <v>0.13400000000000001</v>
      </c>
      <c r="J48" s="137">
        <v>4</v>
      </c>
    </row>
    <row r="49" spans="2:10" s="3" customFormat="1" ht="18" customHeight="1">
      <c r="B49" s="134" t="s">
        <v>1793</v>
      </c>
      <c r="C49" s="134" t="s">
        <v>1779</v>
      </c>
      <c r="D49" s="134" t="s">
        <v>1784</v>
      </c>
      <c r="E49" s="134" t="s">
        <v>1794</v>
      </c>
      <c r="F49" s="135">
        <v>91463.039999999994</v>
      </c>
      <c r="G49" s="135">
        <v>72255.801599999992</v>
      </c>
      <c r="H49" s="135">
        <f t="shared" si="0"/>
        <v>19207.238400000002</v>
      </c>
      <c r="I49" s="136">
        <v>0.27600000000000002</v>
      </c>
      <c r="J49" s="137">
        <v>5</v>
      </c>
    </row>
    <row r="50" spans="2:10" s="3" customFormat="1" ht="18" customHeight="1">
      <c r="B50" s="134" t="s">
        <v>1793</v>
      </c>
      <c r="C50" s="134" t="s">
        <v>1779</v>
      </c>
      <c r="D50" s="134" t="s">
        <v>1784</v>
      </c>
      <c r="E50" s="134" t="s">
        <v>1795</v>
      </c>
      <c r="F50" s="135">
        <v>1447185.6</v>
      </c>
      <c r="G50" s="135">
        <v>1287995.1840000001</v>
      </c>
      <c r="H50" s="135">
        <f t="shared" si="0"/>
        <v>159190.41599999997</v>
      </c>
      <c r="I50" s="136">
        <v>0.23300000000000001</v>
      </c>
      <c r="J50" s="137">
        <v>9</v>
      </c>
    </row>
    <row r="51" spans="2:10" s="3" customFormat="1" ht="18" customHeight="1">
      <c r="B51" s="134" t="s">
        <v>1793</v>
      </c>
      <c r="C51" s="134" t="s">
        <v>1779</v>
      </c>
      <c r="D51" s="134" t="s">
        <v>1784</v>
      </c>
      <c r="E51" s="134" t="s">
        <v>1794</v>
      </c>
      <c r="F51" s="135">
        <v>154275.84</v>
      </c>
      <c r="G51" s="135">
        <v>143476.5312</v>
      </c>
      <c r="H51" s="135">
        <f t="shared" si="0"/>
        <v>10799.308799999999</v>
      </c>
      <c r="I51" s="136">
        <v>0.247</v>
      </c>
      <c r="J51" s="137">
        <v>8</v>
      </c>
    </row>
    <row r="52" spans="2:10" s="3" customFormat="1" ht="18" customHeight="1">
      <c r="B52" s="134" t="s">
        <v>1793</v>
      </c>
      <c r="C52" s="134" t="s">
        <v>1779</v>
      </c>
      <c r="D52" s="134" t="s">
        <v>1784</v>
      </c>
      <c r="E52" s="134" t="s">
        <v>1795</v>
      </c>
      <c r="F52" s="135">
        <v>113923.584</v>
      </c>
      <c r="G52" s="135">
        <v>93417.338879999996</v>
      </c>
      <c r="H52" s="135">
        <f t="shared" si="0"/>
        <v>20506.245120000007</v>
      </c>
      <c r="I52" s="136">
        <v>0.35599999999999998</v>
      </c>
      <c r="J52" s="137">
        <v>2</v>
      </c>
    </row>
    <row r="53" spans="2:10" s="3" customFormat="1" ht="18" customHeight="1">
      <c r="B53" s="134" t="s">
        <v>1796</v>
      </c>
      <c r="C53" s="134" t="s">
        <v>1786</v>
      </c>
      <c r="D53" s="134" t="s">
        <v>1787</v>
      </c>
      <c r="E53" s="134" t="s">
        <v>1781</v>
      </c>
      <c r="F53" s="135">
        <v>1205988</v>
      </c>
      <c r="G53" s="135">
        <v>1073329.32</v>
      </c>
      <c r="H53" s="135">
        <f t="shared" si="0"/>
        <v>132658.67999999993</v>
      </c>
      <c r="I53" s="136">
        <v>0.432</v>
      </c>
      <c r="J53" s="137">
        <v>10</v>
      </c>
    </row>
    <row r="54" spans="2:10" s="3" customFormat="1" ht="18" customHeight="1">
      <c r="B54" s="134" t="s">
        <v>1796</v>
      </c>
      <c r="C54" s="134" t="s">
        <v>1786</v>
      </c>
      <c r="D54" s="134" t="s">
        <v>1787</v>
      </c>
      <c r="E54" s="134" t="s">
        <v>1781</v>
      </c>
      <c r="F54" s="135">
        <f>128563.2+200000</f>
        <v>328563.20000000001</v>
      </c>
      <c r="G54" s="135">
        <v>305563.77600000001</v>
      </c>
      <c r="H54" s="135">
        <f t="shared" si="0"/>
        <v>22999.423999999999</v>
      </c>
      <c r="I54" s="138">
        <v>0.39800000000000002</v>
      </c>
      <c r="J54" s="137">
        <v>3</v>
      </c>
    </row>
    <row r="55" spans="2:10" s="3" customFormat="1" ht="18" customHeight="1">
      <c r="B55" s="134" t="s">
        <v>1797</v>
      </c>
      <c r="C55" s="134" t="s">
        <v>1786</v>
      </c>
      <c r="D55" s="134" t="s">
        <v>1787</v>
      </c>
      <c r="E55" s="134" t="s">
        <v>1782</v>
      </c>
      <c r="F55" s="135">
        <v>71676</v>
      </c>
      <c r="G55" s="135">
        <v>70959.240000000005</v>
      </c>
      <c r="H55" s="135">
        <f t="shared" si="0"/>
        <v>716.75999999999476</v>
      </c>
      <c r="I55" s="136">
        <v>0.53300000000000003</v>
      </c>
      <c r="J55" s="137">
        <v>1</v>
      </c>
    </row>
    <row r="56" spans="2:10" s="3" customFormat="1" ht="18" customHeight="1">
      <c r="B56" s="134" t="s">
        <v>1797</v>
      </c>
      <c r="C56" s="134" t="s">
        <v>1786</v>
      </c>
      <c r="D56" s="134" t="s">
        <v>1787</v>
      </c>
      <c r="E56" s="134" t="s">
        <v>1794</v>
      </c>
      <c r="F56" s="135">
        <v>51480</v>
      </c>
      <c r="G56" s="135">
        <v>58172.4</v>
      </c>
      <c r="H56" s="135">
        <f t="shared" si="0"/>
        <v>-6692.4000000000015</v>
      </c>
      <c r="I56" s="138">
        <v>0.26500000000000001</v>
      </c>
      <c r="J56" s="137">
        <v>9</v>
      </c>
    </row>
    <row r="57" spans="2:10" s="3" customFormat="1" ht="18" customHeight="1">
      <c r="B57" s="134" t="s">
        <v>1797</v>
      </c>
      <c r="C57" s="134" t="s">
        <v>1786</v>
      </c>
      <c r="D57" s="134" t="s">
        <v>1787</v>
      </c>
      <c r="E57" s="134" t="s">
        <v>1794</v>
      </c>
      <c r="F57" s="135">
        <v>39600</v>
      </c>
      <c r="G57" s="135">
        <v>38016</v>
      </c>
      <c r="H57" s="135">
        <f t="shared" si="0"/>
        <v>1584</v>
      </c>
      <c r="I57" s="136">
        <v>0.56399999999999995</v>
      </c>
      <c r="J57" s="137">
        <v>2</v>
      </c>
    </row>
    <row r="58" spans="2:10" s="3" customFormat="1" ht="18" customHeight="1">
      <c r="B58" s="134" t="s">
        <v>1797</v>
      </c>
      <c r="C58" s="134" t="s">
        <v>1786</v>
      </c>
      <c r="D58" s="134" t="s">
        <v>1787</v>
      </c>
      <c r="E58" s="134" t="s">
        <v>1795</v>
      </c>
      <c r="F58" s="135">
        <v>79113.600000000006</v>
      </c>
      <c r="G58" s="135">
        <v>64873.152000000002</v>
      </c>
      <c r="H58" s="135">
        <f t="shared" si="0"/>
        <v>14240.448000000004</v>
      </c>
      <c r="I58" s="136">
        <v>0.27600000000000002</v>
      </c>
      <c r="J58" s="137">
        <v>0</v>
      </c>
    </row>
    <row r="59" spans="2:10" s="3" customFormat="1" ht="18" customHeight="1">
      <c r="B59" s="134" t="s">
        <v>1797</v>
      </c>
      <c r="C59" s="134" t="s">
        <v>1786</v>
      </c>
      <c r="D59" s="134" t="s">
        <v>1787</v>
      </c>
      <c r="E59" s="134" t="s">
        <v>1795</v>
      </c>
      <c r="F59" s="135">
        <v>79113.600000000006</v>
      </c>
      <c r="G59" s="135">
        <v>64873.152000000002</v>
      </c>
      <c r="H59" s="135">
        <f t="shared" si="0"/>
        <v>14240.448000000004</v>
      </c>
      <c r="I59" s="136">
        <v>0.54400000000000004</v>
      </c>
      <c r="J59" s="137">
        <v>6</v>
      </c>
    </row>
    <row r="60" spans="2:10" s="3" customFormat="1" ht="18" customHeight="1">
      <c r="B60" s="134" t="s">
        <v>1797</v>
      </c>
      <c r="C60" s="134" t="s">
        <v>1786</v>
      </c>
      <c r="D60" s="134" t="s">
        <v>1787</v>
      </c>
      <c r="E60" s="134" t="s">
        <v>1795</v>
      </c>
      <c r="F60" s="135">
        <v>57888</v>
      </c>
      <c r="G60" s="135">
        <v>55572.480000000003</v>
      </c>
      <c r="H60" s="135">
        <f t="shared" si="0"/>
        <v>2315.5199999999968</v>
      </c>
      <c r="I60" s="136">
        <v>0.315</v>
      </c>
      <c r="J60" s="137">
        <v>5</v>
      </c>
    </row>
    <row r="61" spans="2:10" s="3" customFormat="1" ht="18" customHeight="1">
      <c r="B61" s="134" t="s">
        <v>1797</v>
      </c>
      <c r="C61" s="134" t="s">
        <v>1786</v>
      </c>
      <c r="D61" s="134" t="s">
        <v>1787</v>
      </c>
      <c r="E61" s="134" t="s">
        <v>1795</v>
      </c>
      <c r="F61" s="135">
        <v>57888</v>
      </c>
      <c r="G61" s="135">
        <v>55572.480000000003</v>
      </c>
      <c r="H61" s="135">
        <f t="shared" si="0"/>
        <v>2315.5199999999968</v>
      </c>
      <c r="I61" s="136">
        <v>0.187</v>
      </c>
      <c r="J61" s="137">
        <v>3</v>
      </c>
    </row>
    <row r="62" spans="2:10" s="3" customFormat="1" ht="18" customHeight="1">
      <c r="B62" s="134" t="s">
        <v>1797</v>
      </c>
      <c r="C62" s="134" t="s">
        <v>1788</v>
      </c>
      <c r="D62" s="134" t="s">
        <v>1789</v>
      </c>
      <c r="E62" s="134" t="s">
        <v>1794</v>
      </c>
      <c r="F62" s="135">
        <v>52800</v>
      </c>
      <c r="G62" s="135">
        <v>59664</v>
      </c>
      <c r="H62" s="135">
        <f t="shared" si="0"/>
        <v>-6864</v>
      </c>
      <c r="I62" s="136">
        <v>0.255</v>
      </c>
      <c r="J62" s="137">
        <v>8</v>
      </c>
    </row>
    <row r="63" spans="2:10" s="3" customFormat="1" ht="18" customHeight="1">
      <c r="B63" s="134" t="s">
        <v>1797</v>
      </c>
      <c r="C63" s="134" t="s">
        <v>1788</v>
      </c>
      <c r="D63" s="134" t="s">
        <v>1789</v>
      </c>
      <c r="E63" s="134" t="s">
        <v>1794</v>
      </c>
      <c r="F63" s="135">
        <v>52140</v>
      </c>
      <c r="G63" s="135">
        <v>41190.6</v>
      </c>
      <c r="H63" s="135">
        <f t="shared" si="0"/>
        <v>10949.400000000001</v>
      </c>
      <c r="I63" s="136">
        <v>0.35599999999999998</v>
      </c>
      <c r="J63" s="137">
        <v>5</v>
      </c>
    </row>
    <row r="64" spans="2:10" s="3" customFormat="1" ht="18" customHeight="1">
      <c r="B64" s="134" t="s">
        <v>1797</v>
      </c>
      <c r="C64" s="134" t="s">
        <v>1788</v>
      </c>
      <c r="D64" s="134" t="s">
        <v>1789</v>
      </c>
      <c r="E64" s="134" t="s">
        <v>1794</v>
      </c>
      <c r="F64" s="135">
        <v>52140</v>
      </c>
      <c r="G64" s="135">
        <v>41190.6</v>
      </c>
      <c r="H64" s="135">
        <f t="shared" si="0"/>
        <v>10949.400000000001</v>
      </c>
      <c r="I64" s="136">
        <v>0.27600000000000002</v>
      </c>
      <c r="J64" s="137">
        <v>6</v>
      </c>
    </row>
    <row r="65" spans="2:10" s="3" customFormat="1" ht="18" customHeight="1">
      <c r="B65" s="134" t="s">
        <v>1797</v>
      </c>
      <c r="C65" s="134" t="s">
        <v>1788</v>
      </c>
      <c r="D65" s="134" t="s">
        <v>1789</v>
      </c>
      <c r="E65" s="134" t="s">
        <v>1795</v>
      </c>
      <c r="F65" s="135">
        <v>77184</v>
      </c>
      <c r="G65" s="135">
        <v>68693.759999999995</v>
      </c>
      <c r="H65" s="135">
        <f t="shared" si="0"/>
        <v>8490.2400000000052</v>
      </c>
      <c r="I65" s="136">
        <v>0.255</v>
      </c>
      <c r="J65" s="137">
        <v>5</v>
      </c>
    </row>
    <row r="66" spans="2:10" s="3" customFormat="1" ht="18" customHeight="1">
      <c r="B66" s="134" t="s">
        <v>1797</v>
      </c>
      <c r="C66" s="134" t="s">
        <v>1788</v>
      </c>
      <c r="D66" s="134" t="s">
        <v>1789</v>
      </c>
      <c r="E66" s="134" t="s">
        <v>1795</v>
      </c>
      <c r="F66" s="135">
        <v>77184</v>
      </c>
      <c r="G66" s="135">
        <v>87217.919999999998</v>
      </c>
      <c r="H66" s="135">
        <f t="shared" si="0"/>
        <v>-10033.919999999998</v>
      </c>
      <c r="I66" s="136">
        <v>0.56399999999999995</v>
      </c>
      <c r="J66" s="137">
        <v>5</v>
      </c>
    </row>
    <row r="67" spans="2:10" s="3" customFormat="1" ht="18" customHeight="1">
      <c r="B67" s="134" t="s">
        <v>1797</v>
      </c>
      <c r="C67" s="134" t="s">
        <v>1788</v>
      </c>
      <c r="D67" s="134" t="s">
        <v>1789</v>
      </c>
      <c r="E67" s="134" t="s">
        <v>1795</v>
      </c>
      <c r="F67" s="135">
        <v>76219.199999999997</v>
      </c>
      <c r="G67" s="135">
        <v>60213.167999999998</v>
      </c>
      <c r="H67" s="135">
        <f t="shared" si="0"/>
        <v>16006.031999999999</v>
      </c>
      <c r="I67" s="136">
        <v>0.54400000000000004</v>
      </c>
      <c r="J67" s="137">
        <v>1</v>
      </c>
    </row>
    <row r="68" spans="2:10" s="3" customFormat="1" ht="18" customHeight="1">
      <c r="B68" s="134" t="s">
        <v>1797</v>
      </c>
      <c r="C68" s="134" t="s">
        <v>1788</v>
      </c>
      <c r="D68" s="134" t="s">
        <v>1789</v>
      </c>
      <c r="E68" s="134" t="s">
        <v>1795</v>
      </c>
      <c r="F68" s="135">
        <v>75254.399999999994</v>
      </c>
      <c r="G68" s="135">
        <v>58698.432000000001</v>
      </c>
      <c r="H68" s="135">
        <f t="shared" si="0"/>
        <v>16555.967999999993</v>
      </c>
      <c r="I68" s="136">
        <v>0.255</v>
      </c>
      <c r="J68" s="137">
        <v>9</v>
      </c>
    </row>
    <row r="69" spans="2:10" s="3" customFormat="1" ht="18" customHeight="1">
      <c r="B69" s="134" t="s">
        <v>1797</v>
      </c>
      <c r="C69" s="134" t="s">
        <v>1786</v>
      </c>
      <c r="D69" s="134" t="s">
        <v>1790</v>
      </c>
      <c r="E69" s="134" t="s">
        <v>1794</v>
      </c>
      <c r="F69" s="135">
        <v>52800</v>
      </c>
      <c r="G69" s="135">
        <v>46992</v>
      </c>
      <c r="H69" s="135">
        <f t="shared" si="0"/>
        <v>5808</v>
      </c>
      <c r="I69" s="136">
        <v>0.187</v>
      </c>
      <c r="J69" s="137">
        <v>9</v>
      </c>
    </row>
    <row r="70" spans="2:10" s="3" customFormat="1" ht="18" customHeight="1">
      <c r="B70" s="134" t="s">
        <v>1797</v>
      </c>
      <c r="C70" s="134" t="s">
        <v>1786</v>
      </c>
      <c r="D70" s="134" t="s">
        <v>1790</v>
      </c>
      <c r="E70" s="134" t="s">
        <v>1795</v>
      </c>
      <c r="F70" s="135">
        <v>76219.199999999997</v>
      </c>
      <c r="G70" s="135">
        <v>60213.167999999998</v>
      </c>
      <c r="H70" s="135">
        <f t="shared" si="0"/>
        <v>16006.031999999999</v>
      </c>
      <c r="I70" s="136">
        <v>0.26500000000000001</v>
      </c>
      <c r="J70" s="137">
        <v>7</v>
      </c>
    </row>
    <row r="71" spans="2:10" s="3" customFormat="1" ht="18" customHeight="1">
      <c r="B71" s="134" t="s">
        <v>1797</v>
      </c>
      <c r="C71" s="134" t="s">
        <v>1786</v>
      </c>
      <c r="D71" s="134" t="s">
        <v>1790</v>
      </c>
      <c r="E71" s="134" t="s">
        <v>1795</v>
      </c>
      <c r="F71" s="135">
        <v>75254.399999999994</v>
      </c>
      <c r="G71" s="135">
        <v>58698.432000000001</v>
      </c>
      <c r="H71" s="135">
        <f t="shared" si="0"/>
        <v>16555.967999999993</v>
      </c>
      <c r="I71" s="136">
        <v>0.35599999999999998</v>
      </c>
      <c r="J71" s="137">
        <v>5</v>
      </c>
    </row>
    <row r="72" spans="2:10" s="3" customFormat="1" ht="18" customHeight="1">
      <c r="B72" s="134" t="s">
        <v>1797</v>
      </c>
      <c r="C72" s="134" t="s">
        <v>1786</v>
      </c>
      <c r="D72" s="134" t="s">
        <v>1790</v>
      </c>
      <c r="E72" s="134" t="s">
        <v>1781</v>
      </c>
      <c r="F72" s="135">
        <v>296700</v>
      </c>
      <c r="G72" s="135">
        <v>216591</v>
      </c>
      <c r="H72" s="135">
        <f t="shared" si="0"/>
        <v>80109</v>
      </c>
      <c r="I72" s="136">
        <v>0.23300000000000001</v>
      </c>
      <c r="J72" s="137">
        <v>1</v>
      </c>
    </row>
    <row r="73" spans="2:10" s="3" customFormat="1" ht="18" customHeight="1">
      <c r="B73" s="134" t="s">
        <v>1797</v>
      </c>
      <c r="C73" s="134" t="s">
        <v>1788</v>
      </c>
      <c r="D73" s="134" t="s">
        <v>1792</v>
      </c>
      <c r="E73" s="134" t="s">
        <v>1794</v>
      </c>
      <c r="F73" s="135">
        <v>54120</v>
      </c>
      <c r="G73" s="135">
        <v>44378.400000000001</v>
      </c>
      <c r="H73" s="135">
        <f t="shared" si="0"/>
        <v>9741.5999999999985</v>
      </c>
      <c r="I73" s="136">
        <v>0.315</v>
      </c>
      <c r="J73" s="137">
        <v>8</v>
      </c>
    </row>
    <row r="74" spans="2:10" s="3" customFormat="1" ht="18" customHeight="1">
      <c r="B74" s="134" t="s">
        <v>1797</v>
      </c>
      <c r="C74" s="134" t="s">
        <v>1788</v>
      </c>
      <c r="D74" s="134" t="s">
        <v>1792</v>
      </c>
      <c r="E74" s="134" t="s">
        <v>1794</v>
      </c>
      <c r="F74" s="135">
        <v>54120</v>
      </c>
      <c r="G74" s="135">
        <v>44378.400000000001</v>
      </c>
      <c r="H74" s="135">
        <f>F74-G74</f>
        <v>9741.5999999999985</v>
      </c>
      <c r="I74" s="136">
        <v>0.56399999999999995</v>
      </c>
      <c r="J74" s="137">
        <v>3</v>
      </c>
    </row>
    <row r="75" spans="2:10" s="3" customFormat="1" ht="18" customHeight="1">
      <c r="B75" s="134" t="s">
        <v>1797</v>
      </c>
      <c r="C75" s="134" t="s">
        <v>1788</v>
      </c>
      <c r="D75" s="134" t="s">
        <v>1792</v>
      </c>
      <c r="E75" s="134" t="s">
        <v>1794</v>
      </c>
      <c r="F75" s="135">
        <v>51480</v>
      </c>
      <c r="G75" s="135">
        <v>40154.400000000001</v>
      </c>
      <c r="H75" s="135">
        <f>F75-G75</f>
        <v>11325.599999999999</v>
      </c>
      <c r="I75" s="136">
        <v>0.255</v>
      </c>
      <c r="J75" s="137">
        <v>2</v>
      </c>
    </row>
    <row r="76" spans="2:10" s="3" customFormat="1" ht="18" customHeight="1">
      <c r="B76" s="134" t="s">
        <v>1797</v>
      </c>
      <c r="C76" s="134" t="s">
        <v>1788</v>
      </c>
      <c r="D76" s="134" t="s">
        <v>1792</v>
      </c>
      <c r="E76" s="134" t="s">
        <v>1794</v>
      </c>
      <c r="F76" s="135">
        <v>39600</v>
      </c>
      <c r="G76" s="135">
        <v>38016</v>
      </c>
      <c r="H76" s="135">
        <f>F76-G76</f>
        <v>1584</v>
      </c>
      <c r="I76" s="136">
        <v>0.54400000000000004</v>
      </c>
      <c r="J76" s="137">
        <v>8</v>
      </c>
    </row>
    <row r="77" spans="2:10" s="3" customFormat="1" ht="18" customHeight="1">
      <c r="B77" s="134" t="s">
        <v>1797</v>
      </c>
      <c r="C77" s="134" t="s">
        <v>1788</v>
      </c>
      <c r="D77" s="134" t="s">
        <v>1792</v>
      </c>
      <c r="E77" s="134" t="s">
        <v>1795</v>
      </c>
      <c r="F77" s="135">
        <v>79113.600000000006</v>
      </c>
      <c r="G77" s="135">
        <v>64873.152000000002</v>
      </c>
      <c r="H77" s="135">
        <f>F77-G77</f>
        <v>14240.448000000004</v>
      </c>
      <c r="I77" s="136">
        <v>0.255</v>
      </c>
      <c r="J77" s="137">
        <v>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14"/>
  <sheetViews>
    <sheetView showGridLines="0" workbookViewId="0">
      <selection activeCell="F4" sqref="F4"/>
    </sheetView>
  </sheetViews>
  <sheetFormatPr defaultRowHeight="15"/>
  <cols>
    <col min="1" max="1" width="19.28515625" style="539" customWidth="1"/>
    <col min="2" max="2" width="13.7109375" style="539" customWidth="1"/>
    <col min="3" max="3" width="25.7109375" style="539" customWidth="1"/>
    <col min="4" max="4" width="13.7109375" style="539" customWidth="1"/>
    <col min="5" max="6" width="5.140625" style="539" customWidth="1"/>
    <col min="7" max="7" width="9.140625" style="539"/>
    <col min="8" max="8" width="25.28515625" style="539" customWidth="1"/>
    <col min="9" max="9" width="9.5703125" style="539" customWidth="1"/>
    <col min="10" max="16384" width="9.140625" style="539"/>
  </cols>
  <sheetData>
    <row r="1" spans="1:9" ht="19.5">
      <c r="A1" s="557"/>
      <c r="B1" s="538"/>
      <c r="C1" s="538"/>
      <c r="D1" s="538"/>
      <c r="E1" s="636" t="s">
        <v>2056</v>
      </c>
    </row>
    <row r="2" spans="1:9" ht="19.5">
      <c r="A2" s="545" t="s">
        <v>631</v>
      </c>
      <c r="B2" s="538"/>
      <c r="C2" s="538"/>
      <c r="D2" s="538"/>
    </row>
    <row r="3" spans="1:9" ht="19.5">
      <c r="A3" s="538"/>
      <c r="B3" s="538"/>
      <c r="C3" s="538"/>
      <c r="D3" s="538"/>
    </row>
    <row r="4" spans="1:9">
      <c r="A4" s="540">
        <f ca="1">TODAY()</f>
        <v>40261</v>
      </c>
      <c r="H4" s="558" t="s">
        <v>626</v>
      </c>
      <c r="I4" s="558">
        <v>0</v>
      </c>
    </row>
    <row r="5" spans="1:9" ht="15" customHeight="1">
      <c r="A5" s="541" t="s">
        <v>0</v>
      </c>
      <c r="B5" s="541" t="s">
        <v>1</v>
      </c>
      <c r="C5" s="541" t="s">
        <v>630</v>
      </c>
      <c r="D5" s="541" t="s">
        <v>9</v>
      </c>
      <c r="H5" s="558" t="s">
        <v>627</v>
      </c>
      <c r="I5" s="558">
        <v>1500</v>
      </c>
    </row>
    <row r="6" spans="1:9" ht="15" customHeight="1">
      <c r="A6" s="539" t="s">
        <v>4</v>
      </c>
      <c r="B6" s="542">
        <v>39508</v>
      </c>
      <c r="C6" s="559" t="s">
        <v>627</v>
      </c>
      <c r="D6" s="544">
        <f>IF(C6="B. Basic Bonus",$I$5,IF(C6="C. High perfpormance Bonus",$I$6,IF(C6="D. Super Bonus",$I$7,$I$4)))</f>
        <v>1500</v>
      </c>
      <c r="H6" s="558" t="s">
        <v>628</v>
      </c>
      <c r="I6" s="558">
        <v>2500</v>
      </c>
    </row>
    <row r="7" spans="1:9">
      <c r="A7" s="546" t="s">
        <v>3</v>
      </c>
      <c r="B7" s="547">
        <v>38657</v>
      </c>
      <c r="C7" s="560" t="s">
        <v>628</v>
      </c>
      <c r="D7" s="544">
        <f t="shared" ref="D7:D14" si="0">IF(C7="B. Basic Bonus",$I$5,IF(C7="C. High perfpormance Bonus",$I$6,IF(C7="D. Super Bonus",$I$7,$I$4)))</f>
        <v>0</v>
      </c>
      <c r="H7" s="558" t="s">
        <v>629</v>
      </c>
      <c r="I7" s="558">
        <v>4000</v>
      </c>
    </row>
    <row r="8" spans="1:9">
      <c r="A8" s="549" t="s">
        <v>5</v>
      </c>
      <c r="B8" s="542">
        <v>37773</v>
      </c>
      <c r="C8" s="561" t="s">
        <v>629</v>
      </c>
      <c r="D8" s="544">
        <f t="shared" si="0"/>
        <v>4000</v>
      </c>
    </row>
    <row r="9" spans="1:9">
      <c r="A9" s="546" t="s">
        <v>2</v>
      </c>
      <c r="B9" s="547">
        <v>39114</v>
      </c>
      <c r="C9" s="560" t="s">
        <v>626</v>
      </c>
      <c r="D9" s="544">
        <f t="shared" si="0"/>
        <v>0</v>
      </c>
    </row>
    <row r="10" spans="1:9">
      <c r="A10" s="550" t="s">
        <v>621</v>
      </c>
      <c r="B10" s="551">
        <v>39508</v>
      </c>
      <c r="C10" s="539" t="s">
        <v>627</v>
      </c>
      <c r="D10" s="544">
        <f t="shared" si="0"/>
        <v>1500</v>
      </c>
    </row>
    <row r="11" spans="1:9">
      <c r="A11" s="550" t="s">
        <v>622</v>
      </c>
      <c r="B11" s="552">
        <v>38657</v>
      </c>
      <c r="C11" s="539" t="s">
        <v>628</v>
      </c>
      <c r="D11" s="544">
        <f t="shared" si="0"/>
        <v>0</v>
      </c>
    </row>
    <row r="12" spans="1:9">
      <c r="A12" s="553" t="s">
        <v>618</v>
      </c>
      <c r="B12" s="554">
        <v>38770</v>
      </c>
      <c r="C12" s="539" t="s">
        <v>626</v>
      </c>
      <c r="D12" s="544">
        <f t="shared" si="0"/>
        <v>0</v>
      </c>
    </row>
    <row r="13" spans="1:9">
      <c r="A13" s="553" t="s">
        <v>619</v>
      </c>
      <c r="B13" s="554">
        <v>37353</v>
      </c>
      <c r="C13" s="539" t="s">
        <v>629</v>
      </c>
      <c r="D13" s="544">
        <f t="shared" si="0"/>
        <v>4000</v>
      </c>
    </row>
    <row r="14" spans="1:9">
      <c r="A14" s="555" t="s">
        <v>620</v>
      </c>
      <c r="B14" s="554">
        <v>38566</v>
      </c>
      <c r="C14" s="539" t="s">
        <v>626</v>
      </c>
      <c r="D14" s="544">
        <f t="shared" si="0"/>
        <v>0</v>
      </c>
    </row>
  </sheetData>
  <sheetProtection password="E09F" sheet="1" formatCells="0" formatColumns="0" formatRows="0" insertColumns="0" insertRows="0" insertHyperlinks="0" deleteColumns="0" deleteRows="0" sort="0" autoFilter="0" pivotTables="0"/>
  <dataValidations count="1">
    <dataValidation type="list" allowBlank="1" showInputMessage="1" showErrorMessage="1" sqref="C6:C27">
      <formula1>$H$4:$H$7</formula1>
    </dataValidation>
  </dataValidation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60.xml><?xml version="1.0" encoding="utf-8"?>
<worksheet xmlns="http://schemas.openxmlformats.org/spreadsheetml/2006/main" xmlns:r="http://schemas.openxmlformats.org/officeDocument/2006/relationships">
  <dimension ref="A1:J78"/>
  <sheetViews>
    <sheetView showGridLines="0" workbookViewId="0">
      <selection activeCell="F4" sqref="F4"/>
    </sheetView>
  </sheetViews>
  <sheetFormatPr defaultRowHeight="15.75"/>
  <cols>
    <col min="1" max="1" width="5.42578125" style="142" customWidth="1"/>
    <col min="2" max="2" width="13" style="142" bestFit="1" customWidth="1"/>
    <col min="3" max="3" width="11" style="142" bestFit="1" customWidth="1"/>
    <col min="4" max="4" width="14.28515625" style="142" bestFit="1" customWidth="1"/>
    <col min="5" max="5" width="14.85546875" style="142" bestFit="1" customWidth="1"/>
    <col min="6" max="7" width="18" style="142" bestFit="1" customWidth="1"/>
    <col min="8" max="8" width="15.5703125" style="142" bestFit="1" customWidth="1"/>
    <col min="9" max="9" width="13.7109375" style="142" bestFit="1" customWidth="1"/>
    <col min="10" max="10" width="11" style="142" bestFit="1" customWidth="1"/>
    <col min="11" max="16384" width="9.140625" style="142"/>
  </cols>
  <sheetData>
    <row r="1" spans="1:10" ht="30">
      <c r="A1" s="113" t="s">
        <v>1851</v>
      </c>
      <c r="B1" s="114"/>
      <c r="C1" s="3"/>
      <c r="D1" s="3"/>
      <c r="E1" s="637" t="s">
        <v>2056</v>
      </c>
      <c r="F1" s="3"/>
      <c r="G1" s="3"/>
    </row>
    <row r="2" spans="1:10" ht="30">
      <c r="A2" s="113"/>
      <c r="B2" s="114"/>
      <c r="C2" s="3"/>
      <c r="D2" s="3"/>
      <c r="E2" s="3"/>
      <c r="F2" s="3"/>
      <c r="G2" s="3"/>
    </row>
    <row r="3" spans="1:10" ht="17.25" customHeight="1">
      <c r="A3" s="115"/>
      <c r="B3" s="114"/>
      <c r="C3" s="271" t="s">
        <v>1774</v>
      </c>
      <c r="D3" s="3"/>
      <c r="E3" s="179" t="s">
        <v>1853</v>
      </c>
      <c r="F3" s="277">
        <f>DCOUNT($B$10:$J$78,5,$C$3:$C$4)</f>
        <v>2</v>
      </c>
      <c r="G3" s="277">
        <f>DCOUNT($B$10:$J$78,6,$C$3:$C$4)</f>
        <v>2</v>
      </c>
      <c r="H3" s="277">
        <f>DCOUNT($B$10:$J$78,7,$C$3:$C$4)</f>
        <v>2</v>
      </c>
      <c r="J3" s="278">
        <f>DCOUNT($B$10:$J$78,9,$C$3:$C$4)</f>
        <v>2</v>
      </c>
    </row>
    <row r="4" spans="1:10" ht="17.25" customHeight="1">
      <c r="A4" s="115"/>
      <c r="B4" s="114"/>
      <c r="C4" s="273" t="s">
        <v>1852</v>
      </c>
      <c r="E4" s="177" t="s">
        <v>1020</v>
      </c>
      <c r="F4" s="274">
        <f>DSUM($B$10:$J$78,5,$C$3:$C$4)</f>
        <v>2653173.6</v>
      </c>
      <c r="G4" s="274">
        <f>DSUM($B$10:$J$78,6,$C$3:$C$4)</f>
        <v>2361324.5040000002</v>
      </c>
      <c r="H4" s="274">
        <f>DSUM($B$10:$J$78,7,$C$3:$C$4)</f>
        <v>291849.0959999999</v>
      </c>
      <c r="I4" s="274"/>
      <c r="J4" s="275">
        <f>DSUM($B$10:$J$78,9,$C$3:$C$4)</f>
        <v>19</v>
      </c>
    </row>
    <row r="5" spans="1:10" ht="16.5" customHeight="1">
      <c r="A5" s="115"/>
      <c r="B5" s="114"/>
      <c r="C5" s="3"/>
      <c r="G5" s="3"/>
    </row>
    <row r="6" spans="1:10" ht="16.5" customHeight="1"/>
    <row r="7" spans="1:10" s="3" customFormat="1" ht="16.5" customHeight="1">
      <c r="B7" s="119" t="s">
        <v>1772</v>
      </c>
      <c r="C7" s="120"/>
      <c r="D7" s="120"/>
      <c r="E7" s="120"/>
      <c r="F7" s="121"/>
      <c r="G7" s="121"/>
      <c r="H7" s="121"/>
      <c r="I7" s="120"/>
      <c r="J7" s="122"/>
    </row>
    <row r="8" spans="1:10" s="3" customFormat="1" ht="18">
      <c r="B8" s="276" t="s">
        <v>1799</v>
      </c>
      <c r="C8" s="124"/>
      <c r="D8" s="124"/>
      <c r="E8" s="124"/>
      <c r="F8" s="125"/>
      <c r="G8" s="125"/>
      <c r="H8" s="125"/>
      <c r="I8" s="124"/>
      <c r="J8" s="126"/>
    </row>
    <row r="9" spans="1:10" s="3" customFormat="1" ht="18" hidden="1">
      <c r="B9" s="127"/>
      <c r="C9" s="128"/>
      <c r="D9" s="128"/>
      <c r="E9" s="128"/>
      <c r="F9" s="129"/>
      <c r="G9" s="129"/>
      <c r="H9" s="129"/>
      <c r="I9" s="128"/>
    </row>
    <row r="10" spans="1:10" s="3" customFormat="1" ht="39" customHeight="1" thickBot="1">
      <c r="B10" s="130" t="s">
        <v>1770</v>
      </c>
      <c r="C10" s="130" t="s">
        <v>176</v>
      </c>
      <c r="D10" s="130" t="s">
        <v>175</v>
      </c>
      <c r="E10" s="130" t="s">
        <v>264</v>
      </c>
      <c r="F10" s="131" t="s">
        <v>1774</v>
      </c>
      <c r="G10" s="131" t="s">
        <v>1775</v>
      </c>
      <c r="H10" s="132" t="s">
        <v>1776</v>
      </c>
      <c r="I10" s="133" t="s">
        <v>1777</v>
      </c>
      <c r="J10" s="133" t="s">
        <v>1778</v>
      </c>
    </row>
    <row r="11" spans="1:10" s="3" customFormat="1" ht="18" customHeight="1">
      <c r="B11" s="134" t="s">
        <v>1771</v>
      </c>
      <c r="C11" s="134" t="s">
        <v>1779</v>
      </c>
      <c r="D11" s="134" t="s">
        <v>1780</v>
      </c>
      <c r="E11" s="134" t="s">
        <v>1781</v>
      </c>
      <c r="F11" s="135">
        <v>47520</v>
      </c>
      <c r="G11" s="135">
        <v>45619.199999999997</v>
      </c>
      <c r="H11" s="135">
        <f t="shared" ref="H11:H74" si="0">F11-G11</f>
        <v>1900.8000000000029</v>
      </c>
      <c r="I11" s="136">
        <v>0.247</v>
      </c>
      <c r="J11" s="137">
        <v>6</v>
      </c>
    </row>
    <row r="12" spans="1:10" s="3" customFormat="1" ht="18" customHeight="1">
      <c r="B12" s="134" t="s">
        <v>1771</v>
      </c>
      <c r="C12" s="134" t="s">
        <v>1779</v>
      </c>
      <c r="D12" s="134" t="s">
        <v>1780</v>
      </c>
      <c r="E12" s="134" t="s">
        <v>1782</v>
      </c>
      <c r="F12" s="135">
        <v>91463.039999999994</v>
      </c>
      <c r="G12" s="135">
        <v>72255.801599999992</v>
      </c>
      <c r="H12" s="135">
        <f t="shared" si="0"/>
        <v>19207.238400000002</v>
      </c>
      <c r="I12" s="136">
        <v>0.35599999999999998</v>
      </c>
      <c r="J12" s="137">
        <v>8</v>
      </c>
    </row>
    <row r="13" spans="1:10" s="3" customFormat="1" ht="18" customHeight="1">
      <c r="B13" s="134" t="s">
        <v>1771</v>
      </c>
      <c r="C13" s="134" t="s">
        <v>1779</v>
      </c>
      <c r="D13" s="134" t="s">
        <v>1780</v>
      </c>
      <c r="E13" s="134" t="s">
        <v>1781</v>
      </c>
      <c r="F13" s="135">
        <v>356040</v>
      </c>
      <c r="G13" s="135">
        <v>259909.2</v>
      </c>
      <c r="H13" s="135">
        <f t="shared" si="0"/>
        <v>96130.799999999988</v>
      </c>
      <c r="I13" s="136">
        <v>0.255</v>
      </c>
      <c r="J13" s="137">
        <v>2</v>
      </c>
    </row>
    <row r="14" spans="1:10" s="3" customFormat="1" ht="18" customHeight="1">
      <c r="B14" s="134" t="s">
        <v>1771</v>
      </c>
      <c r="C14" s="134" t="s">
        <v>1779</v>
      </c>
      <c r="D14" s="134" t="s">
        <v>1780</v>
      </c>
      <c r="E14" s="134" t="s">
        <v>1782</v>
      </c>
      <c r="F14" s="135">
        <v>154275.84</v>
      </c>
      <c r="G14" s="135">
        <v>143476.5312</v>
      </c>
      <c r="H14" s="135">
        <f t="shared" si="0"/>
        <v>10799.308799999999</v>
      </c>
      <c r="I14" s="136">
        <v>0.65</v>
      </c>
      <c r="J14" s="137">
        <v>9</v>
      </c>
    </row>
    <row r="15" spans="1:10" s="3" customFormat="1" ht="18" customHeight="1">
      <c r="B15" s="134" t="s">
        <v>1771</v>
      </c>
      <c r="C15" s="134" t="s">
        <v>1779</v>
      </c>
      <c r="D15" s="134" t="s">
        <v>1780</v>
      </c>
      <c r="E15" s="134" t="s">
        <v>1781</v>
      </c>
      <c r="F15" s="135">
        <v>113923.584</v>
      </c>
      <c r="G15" s="135">
        <v>93417.338879999996</v>
      </c>
      <c r="H15" s="135">
        <f t="shared" si="0"/>
        <v>20506.245120000007</v>
      </c>
      <c r="I15" s="136">
        <v>0.255</v>
      </c>
      <c r="J15" s="137">
        <v>6</v>
      </c>
    </row>
    <row r="16" spans="1:10" s="3" customFormat="1" ht="18" customHeight="1">
      <c r="B16" s="134" t="s">
        <v>1771</v>
      </c>
      <c r="C16" s="134" t="s">
        <v>1779</v>
      </c>
      <c r="D16" s="134" t="s">
        <v>1783</v>
      </c>
      <c r="E16" s="134" t="s">
        <v>1782</v>
      </c>
      <c r="F16" s="135">
        <v>94936.320000000007</v>
      </c>
      <c r="G16" s="135">
        <v>77847.782399999996</v>
      </c>
      <c r="H16" s="135">
        <f t="shared" si="0"/>
        <v>17088.537600000011</v>
      </c>
      <c r="I16" s="136">
        <v>0.315</v>
      </c>
      <c r="J16" s="137">
        <v>9</v>
      </c>
    </row>
    <row r="17" spans="2:10" s="3" customFormat="1" ht="18" customHeight="1">
      <c r="B17" s="134" t="s">
        <v>1771</v>
      </c>
      <c r="C17" s="134" t="s">
        <v>1779</v>
      </c>
      <c r="D17" s="134" t="s">
        <v>1783</v>
      </c>
      <c r="E17" s="134" t="s">
        <v>1781</v>
      </c>
      <c r="F17" s="135">
        <v>90305.279999999999</v>
      </c>
      <c r="G17" s="135">
        <v>70438.118399999992</v>
      </c>
      <c r="H17" s="135">
        <f t="shared" si="0"/>
        <v>19867.161600000007</v>
      </c>
      <c r="I17" s="136">
        <v>0.255</v>
      </c>
      <c r="J17" s="137"/>
    </row>
    <row r="18" spans="2:10" s="3" customFormat="1" ht="18" customHeight="1">
      <c r="B18" s="134" t="s">
        <v>1771</v>
      </c>
      <c r="C18" s="134" t="s">
        <v>1779</v>
      </c>
      <c r="D18" s="134" t="s">
        <v>1783</v>
      </c>
      <c r="E18" s="134" t="s">
        <v>1782</v>
      </c>
      <c r="F18" s="135">
        <v>394275.84000000003</v>
      </c>
      <c r="G18" s="135">
        <v>366676.53120000003</v>
      </c>
      <c r="H18" s="135">
        <f t="shared" si="0"/>
        <v>27599.308799999999</v>
      </c>
      <c r="I18" s="136">
        <v>0.154</v>
      </c>
      <c r="J18" s="137">
        <v>0</v>
      </c>
    </row>
    <row r="19" spans="2:10" s="3" customFormat="1" ht="18" customHeight="1">
      <c r="B19" s="134" t="s">
        <v>1771</v>
      </c>
      <c r="C19" s="134" t="s">
        <v>1779</v>
      </c>
      <c r="D19" s="134" t="s">
        <v>1783</v>
      </c>
      <c r="E19" s="134" t="s">
        <v>1781</v>
      </c>
      <c r="F19" s="135">
        <v>116121.60000000001</v>
      </c>
      <c r="G19" s="135">
        <v>84768.767999999996</v>
      </c>
      <c r="H19" s="135">
        <f t="shared" si="0"/>
        <v>31352.832000000009</v>
      </c>
      <c r="I19" s="136">
        <v>0.13400000000000001</v>
      </c>
      <c r="J19" s="137">
        <v>3</v>
      </c>
    </row>
    <row r="20" spans="2:10" s="3" customFormat="1" ht="18" customHeight="1">
      <c r="B20" s="134" t="s">
        <v>1771</v>
      </c>
      <c r="C20" s="134" t="s">
        <v>1779</v>
      </c>
      <c r="D20" s="134" t="s">
        <v>1784</v>
      </c>
      <c r="E20" s="134" t="s">
        <v>1781</v>
      </c>
      <c r="F20" s="135">
        <v>92620.800000000003</v>
      </c>
      <c r="G20" s="135">
        <v>82432.511999999988</v>
      </c>
      <c r="H20" s="135">
        <f t="shared" si="0"/>
        <v>10188.288000000015</v>
      </c>
      <c r="I20" s="136">
        <v>0.187</v>
      </c>
      <c r="J20" s="137">
        <v>3</v>
      </c>
    </row>
    <row r="21" spans="2:10" s="3" customFormat="1" ht="18" customHeight="1">
      <c r="B21" s="134" t="s">
        <v>1771</v>
      </c>
      <c r="C21" s="134" t="s">
        <v>1779</v>
      </c>
      <c r="D21" s="134" t="s">
        <v>1784</v>
      </c>
      <c r="E21" s="134" t="s">
        <v>1782</v>
      </c>
      <c r="F21" s="135">
        <v>69465.600000000006</v>
      </c>
      <c r="G21" s="135">
        <v>66686.975999999995</v>
      </c>
      <c r="H21" s="135">
        <f t="shared" si="0"/>
        <v>2778.6240000000107</v>
      </c>
      <c r="I21" s="136">
        <v>0.54400000000000004</v>
      </c>
      <c r="J21" s="137">
        <v>9</v>
      </c>
    </row>
    <row r="22" spans="2:10" s="3" customFormat="1" ht="18" customHeight="1">
      <c r="B22" s="134" t="s">
        <v>1771</v>
      </c>
      <c r="C22" s="134" t="s">
        <v>1779</v>
      </c>
      <c r="D22" s="134" t="s">
        <v>1784</v>
      </c>
      <c r="E22" s="134" t="s">
        <v>1781</v>
      </c>
      <c r="F22" s="135">
        <v>261004.79999999999</v>
      </c>
      <c r="G22" s="135">
        <v>221854.07999999999</v>
      </c>
      <c r="H22" s="135">
        <f t="shared" si="0"/>
        <v>39150.720000000001</v>
      </c>
      <c r="I22" s="136">
        <v>0.23300000000000001</v>
      </c>
      <c r="J22" s="137">
        <v>6</v>
      </c>
    </row>
    <row r="23" spans="2:10" s="3" customFormat="1" ht="18" customHeight="1">
      <c r="B23" s="134" t="s">
        <v>1771</v>
      </c>
      <c r="C23" s="134" t="s">
        <v>1779</v>
      </c>
      <c r="D23" s="134" t="s">
        <v>1784</v>
      </c>
      <c r="E23" s="134" t="s">
        <v>1782</v>
      </c>
      <c r="F23" s="135">
        <v>57024</v>
      </c>
      <c r="G23" s="135">
        <v>54743.040000000001</v>
      </c>
      <c r="H23" s="135">
        <f t="shared" si="0"/>
        <v>2280.9599999999991</v>
      </c>
      <c r="I23" s="136">
        <v>0.56399999999999995</v>
      </c>
      <c r="J23" s="137">
        <v>8</v>
      </c>
    </row>
    <row r="24" spans="2:10" s="3" customFormat="1" ht="18" customHeight="1">
      <c r="B24" s="134" t="s">
        <v>1785</v>
      </c>
      <c r="C24" s="134" t="s">
        <v>1786</v>
      </c>
      <c r="D24" s="134" t="s">
        <v>1787</v>
      </c>
      <c r="E24" s="134" t="s">
        <v>1782</v>
      </c>
      <c r="F24" s="135">
        <v>181988</v>
      </c>
      <c r="G24" s="135">
        <v>205646.44</v>
      </c>
      <c r="H24" s="135">
        <f t="shared" si="0"/>
        <v>-23658.440000000002</v>
      </c>
      <c r="I24" s="136">
        <v>0.432</v>
      </c>
      <c r="J24" s="137">
        <v>2</v>
      </c>
    </row>
    <row r="25" spans="2:10" s="3" customFormat="1" ht="18" customHeight="1">
      <c r="B25" s="134" t="s">
        <v>1785</v>
      </c>
      <c r="C25" s="134" t="s">
        <v>1786</v>
      </c>
      <c r="D25" s="134" t="s">
        <v>1787</v>
      </c>
      <c r="E25" s="134" t="s">
        <v>1782</v>
      </c>
      <c r="F25" s="135">
        <v>121197.6</v>
      </c>
      <c r="G25" s="135">
        <v>112713.76800000001</v>
      </c>
      <c r="H25" s="135">
        <f t="shared" si="0"/>
        <v>8483.8319999999949</v>
      </c>
      <c r="I25" s="136">
        <v>0.154</v>
      </c>
      <c r="J25" s="137">
        <v>4</v>
      </c>
    </row>
    <row r="26" spans="2:10" s="3" customFormat="1" ht="18" customHeight="1">
      <c r="B26" s="134" t="s">
        <v>1785</v>
      </c>
      <c r="C26" s="134" t="s">
        <v>1786</v>
      </c>
      <c r="D26" s="134" t="s">
        <v>1787</v>
      </c>
      <c r="E26" s="134" t="s">
        <v>1781</v>
      </c>
      <c r="F26" s="135">
        <v>432900</v>
      </c>
      <c r="G26" s="135">
        <v>367965</v>
      </c>
      <c r="H26" s="135">
        <f t="shared" si="0"/>
        <v>64935</v>
      </c>
      <c r="I26" s="136">
        <v>0.247</v>
      </c>
      <c r="J26" s="137">
        <v>2</v>
      </c>
    </row>
    <row r="27" spans="2:10" s="3" customFormat="1" ht="18" customHeight="1">
      <c r="B27" s="134" t="s">
        <v>1785</v>
      </c>
      <c r="C27" s="134" t="s">
        <v>1786</v>
      </c>
      <c r="D27" s="134" t="s">
        <v>1787</v>
      </c>
      <c r="E27" s="134" t="s">
        <v>1781</v>
      </c>
      <c r="F27" s="135">
        <v>96768</v>
      </c>
      <c r="G27" s="135">
        <v>70640.639999999999</v>
      </c>
      <c r="H27" s="135">
        <f t="shared" si="0"/>
        <v>26127.360000000001</v>
      </c>
      <c r="I27" s="136">
        <v>0.318</v>
      </c>
      <c r="J27" s="137">
        <v>2</v>
      </c>
    </row>
    <row r="28" spans="2:10" s="3" customFormat="1" ht="18" customHeight="1">
      <c r="B28" s="134" t="s">
        <v>1785</v>
      </c>
      <c r="C28" s="134" t="s">
        <v>1788</v>
      </c>
      <c r="D28" s="134" t="s">
        <v>1789</v>
      </c>
      <c r="E28" s="134" t="s">
        <v>1782</v>
      </c>
      <c r="F28" s="135">
        <v>121197.6</v>
      </c>
      <c r="G28" s="135">
        <v>112713.76800000001</v>
      </c>
      <c r="H28" s="135">
        <f t="shared" si="0"/>
        <v>8483.8319999999949</v>
      </c>
      <c r="I28" s="136">
        <v>0.45</v>
      </c>
      <c r="J28" s="137">
        <v>13</v>
      </c>
    </row>
    <row r="29" spans="2:10" s="3" customFormat="1" ht="18" customHeight="1">
      <c r="B29" s="134" t="s">
        <v>1785</v>
      </c>
      <c r="C29" s="134" t="s">
        <v>1788</v>
      </c>
      <c r="D29" s="134" t="s">
        <v>1789</v>
      </c>
      <c r="E29" s="134" t="s">
        <v>1782</v>
      </c>
      <c r="F29" s="135">
        <v>121197.6</v>
      </c>
      <c r="G29" s="135">
        <v>112713.76800000001</v>
      </c>
      <c r="H29" s="135">
        <f t="shared" si="0"/>
        <v>8483.8319999999949</v>
      </c>
      <c r="I29" s="136">
        <v>0.23300000000000001</v>
      </c>
      <c r="J29" s="137"/>
    </row>
    <row r="30" spans="2:10" s="3" customFormat="1" ht="18" customHeight="1">
      <c r="B30" s="134" t="s">
        <v>1785</v>
      </c>
      <c r="C30" s="134" t="s">
        <v>1788</v>
      </c>
      <c r="D30" s="134" t="s">
        <v>1789</v>
      </c>
      <c r="E30" s="134" t="s">
        <v>1782</v>
      </c>
      <c r="F30" s="135">
        <v>110772</v>
      </c>
      <c r="G30" s="135">
        <v>94156.2</v>
      </c>
      <c r="H30" s="135">
        <f t="shared" si="0"/>
        <v>16615.800000000003</v>
      </c>
      <c r="I30" s="136">
        <v>0.39800000000000002</v>
      </c>
      <c r="J30" s="137">
        <v>9</v>
      </c>
    </row>
    <row r="31" spans="2:10" s="3" customFormat="1" ht="18" customHeight="1">
      <c r="B31" s="134" t="s">
        <v>1785</v>
      </c>
      <c r="C31" s="134" t="s">
        <v>1786</v>
      </c>
      <c r="D31" s="134" t="s">
        <v>1790</v>
      </c>
      <c r="E31" s="134" t="s">
        <v>1781</v>
      </c>
      <c r="F31" s="135">
        <v>128563.2</v>
      </c>
      <c r="G31" s="135">
        <v>119563.776</v>
      </c>
      <c r="H31" s="135">
        <f t="shared" si="0"/>
        <v>8999.4239999999991</v>
      </c>
      <c r="I31" s="136">
        <v>0.39800000000000002</v>
      </c>
      <c r="J31" s="137">
        <v>8</v>
      </c>
    </row>
    <row r="32" spans="2:10" s="3" customFormat="1" ht="18" customHeight="1">
      <c r="B32" s="134" t="s">
        <v>1785</v>
      </c>
      <c r="C32" s="134" t="s">
        <v>1786</v>
      </c>
      <c r="D32" s="134" t="s">
        <v>1790</v>
      </c>
      <c r="E32" s="134" t="s">
        <v>1781</v>
      </c>
      <c r="F32" s="135">
        <v>128563.2</v>
      </c>
      <c r="G32" s="135">
        <v>119563.776</v>
      </c>
      <c r="H32" s="135">
        <f t="shared" si="0"/>
        <v>8999.4239999999991</v>
      </c>
      <c r="I32" s="136">
        <v>0.23300000000000001</v>
      </c>
      <c r="J32" s="137">
        <v>1</v>
      </c>
    </row>
    <row r="33" spans="2:10" s="3" customFormat="1" ht="18" customHeight="1">
      <c r="B33" s="134" t="s">
        <v>1785</v>
      </c>
      <c r="C33" s="134" t="s">
        <v>1786</v>
      </c>
      <c r="D33" s="134" t="s">
        <v>1791</v>
      </c>
      <c r="E33" s="134" t="s">
        <v>1781</v>
      </c>
      <c r="F33" s="135">
        <v>76032</v>
      </c>
      <c r="G33" s="135">
        <v>75271.679999999993</v>
      </c>
      <c r="H33" s="135">
        <f t="shared" si="0"/>
        <v>760.32000000000698</v>
      </c>
      <c r="I33" s="136">
        <v>0.65</v>
      </c>
      <c r="J33" s="137">
        <v>4</v>
      </c>
    </row>
    <row r="34" spans="2:10" s="3" customFormat="1" ht="18" customHeight="1">
      <c r="B34" s="134" t="s">
        <v>1785</v>
      </c>
      <c r="C34" s="134" t="s">
        <v>1788</v>
      </c>
      <c r="D34" s="134" t="s">
        <v>1792</v>
      </c>
      <c r="E34" s="134" t="s">
        <v>1782</v>
      </c>
      <c r="F34" s="135">
        <v>110772</v>
      </c>
      <c r="G34" s="135">
        <v>125172.36</v>
      </c>
      <c r="H34" s="135">
        <f t="shared" si="0"/>
        <v>-14400.36</v>
      </c>
      <c r="I34" s="136">
        <v>0.23300000000000001</v>
      </c>
      <c r="J34" s="137"/>
    </row>
    <row r="35" spans="2:10" s="3" customFormat="1" ht="18" customHeight="1">
      <c r="B35" s="134" t="s">
        <v>1785</v>
      </c>
      <c r="C35" s="134" t="s">
        <v>1788</v>
      </c>
      <c r="D35" s="134" t="s">
        <v>1792</v>
      </c>
      <c r="E35" s="134" t="s">
        <v>1782</v>
      </c>
      <c r="F35" s="135">
        <v>110772</v>
      </c>
      <c r="G35" s="135">
        <v>125172.36</v>
      </c>
      <c r="H35" s="135">
        <f t="shared" si="0"/>
        <v>-14400.36</v>
      </c>
      <c r="I35" s="136">
        <v>0.318</v>
      </c>
      <c r="J35" s="137">
        <v>1</v>
      </c>
    </row>
    <row r="36" spans="2:10" s="3" customFormat="1" ht="18" customHeight="1">
      <c r="B36" s="134" t="s">
        <v>1785</v>
      </c>
      <c r="C36" s="134" t="s">
        <v>1788</v>
      </c>
      <c r="D36" s="134" t="s">
        <v>1792</v>
      </c>
      <c r="E36" s="134" t="s">
        <v>1782</v>
      </c>
      <c r="F36" s="135">
        <v>91224</v>
      </c>
      <c r="G36" s="135">
        <v>66593.52</v>
      </c>
      <c r="H36" s="135">
        <f t="shared" si="0"/>
        <v>24630.479999999996</v>
      </c>
      <c r="I36" s="136">
        <v>0.65</v>
      </c>
      <c r="J36" s="137">
        <v>6</v>
      </c>
    </row>
    <row r="37" spans="2:10" s="3" customFormat="1" ht="18" customHeight="1">
      <c r="B37" s="134" t="s">
        <v>1785</v>
      </c>
      <c r="C37" s="134" t="s">
        <v>1788</v>
      </c>
      <c r="D37" s="134" t="s">
        <v>1792</v>
      </c>
      <c r="E37" s="134" t="s">
        <v>1782</v>
      </c>
      <c r="F37" s="135">
        <v>91224</v>
      </c>
      <c r="G37" s="135">
        <v>127713.60000000001</v>
      </c>
      <c r="H37" s="135">
        <f t="shared" si="0"/>
        <v>-36489.600000000006</v>
      </c>
      <c r="I37" s="136">
        <v>0.247</v>
      </c>
      <c r="J37" s="137">
        <v>4</v>
      </c>
    </row>
    <row r="38" spans="2:10" s="3" customFormat="1" ht="18" customHeight="1">
      <c r="B38" s="134" t="s">
        <v>1785</v>
      </c>
      <c r="C38" s="134" t="s">
        <v>1788</v>
      </c>
      <c r="D38" s="134" t="s">
        <v>1792</v>
      </c>
      <c r="E38" s="134" t="s">
        <v>1782</v>
      </c>
      <c r="F38" s="135">
        <v>71676</v>
      </c>
      <c r="G38" s="135">
        <v>70959.240000000005</v>
      </c>
      <c r="H38" s="135">
        <f t="shared" si="0"/>
        <v>716.75999999999476</v>
      </c>
      <c r="I38" s="136">
        <v>0.13400000000000001</v>
      </c>
      <c r="J38" s="137">
        <v>9</v>
      </c>
    </row>
    <row r="39" spans="2:10" s="3" customFormat="1" ht="18" customHeight="1">
      <c r="B39" s="134" t="s">
        <v>1785</v>
      </c>
      <c r="C39" s="134" t="s">
        <v>1788</v>
      </c>
      <c r="D39" s="134" t="s">
        <v>1792</v>
      </c>
      <c r="E39" s="134" t="s">
        <v>1781</v>
      </c>
      <c r="F39" s="135">
        <v>217504</v>
      </c>
      <c r="G39" s="135">
        <v>184878.4</v>
      </c>
      <c r="H39" s="135">
        <f t="shared" si="0"/>
        <v>32625.600000000006</v>
      </c>
      <c r="I39" s="136">
        <v>0.23300000000000001</v>
      </c>
      <c r="J39" s="137">
        <v>9</v>
      </c>
    </row>
    <row r="40" spans="2:10" s="3" customFormat="1" ht="18" customHeight="1">
      <c r="B40" s="134" t="s">
        <v>1785</v>
      </c>
      <c r="C40" s="134" t="s">
        <v>1788</v>
      </c>
      <c r="D40" s="134" t="s">
        <v>1792</v>
      </c>
      <c r="E40" s="134" t="s">
        <v>1781</v>
      </c>
      <c r="F40" s="135">
        <v>128563.2</v>
      </c>
      <c r="G40" s="135">
        <v>119563.776</v>
      </c>
      <c r="H40" s="135">
        <f t="shared" si="0"/>
        <v>8999.4239999999991</v>
      </c>
      <c r="I40" s="136">
        <v>0.154</v>
      </c>
      <c r="J40" s="137">
        <v>3</v>
      </c>
    </row>
    <row r="41" spans="2:10" s="3" customFormat="1" ht="18" customHeight="1">
      <c r="B41" s="134" t="s">
        <v>1793</v>
      </c>
      <c r="C41" s="134" t="s">
        <v>1779</v>
      </c>
      <c r="D41" s="134" t="s">
        <v>1780</v>
      </c>
      <c r="E41" s="134" t="s">
        <v>1794</v>
      </c>
      <c r="F41" s="135">
        <v>94936.320000000007</v>
      </c>
      <c r="G41" s="135">
        <v>77847.782399999996</v>
      </c>
      <c r="H41" s="135">
        <f t="shared" si="0"/>
        <v>17088.537600000011</v>
      </c>
      <c r="I41" s="136">
        <v>0.56399999999999995</v>
      </c>
      <c r="J41" s="137">
        <v>8</v>
      </c>
    </row>
    <row r="42" spans="2:10" s="3" customFormat="1" ht="18" customHeight="1">
      <c r="B42" s="134" t="s">
        <v>1793</v>
      </c>
      <c r="C42" s="134" t="s">
        <v>1779</v>
      </c>
      <c r="D42" s="134" t="s">
        <v>1780</v>
      </c>
      <c r="E42" s="134" t="s">
        <v>1795</v>
      </c>
      <c r="F42" s="135">
        <v>90305.279999999999</v>
      </c>
      <c r="G42" s="135">
        <v>70438.118399999992</v>
      </c>
      <c r="H42" s="135">
        <f t="shared" si="0"/>
        <v>19867.161600000007</v>
      </c>
      <c r="I42" s="138">
        <v>0.26500000000000001</v>
      </c>
      <c r="J42" s="137">
        <v>2</v>
      </c>
    </row>
    <row r="43" spans="2:10" s="3" customFormat="1" ht="18" customHeight="1">
      <c r="B43" s="134" t="s">
        <v>1793</v>
      </c>
      <c r="C43" s="134" t="s">
        <v>1779</v>
      </c>
      <c r="D43" s="134" t="s">
        <v>1780</v>
      </c>
      <c r="E43" s="134" t="s">
        <v>1794</v>
      </c>
      <c r="F43" s="135">
        <v>519480</v>
      </c>
      <c r="G43" s="135">
        <v>441558</v>
      </c>
      <c r="H43" s="135">
        <f t="shared" si="0"/>
        <v>77922</v>
      </c>
      <c r="I43" s="136">
        <v>0.39800000000000002</v>
      </c>
      <c r="J43" s="137">
        <v>6</v>
      </c>
    </row>
    <row r="44" spans="2:10" s="3" customFormat="1" ht="18" customHeight="1">
      <c r="B44" s="134" t="s">
        <v>1793</v>
      </c>
      <c r="C44" s="134" t="s">
        <v>1779</v>
      </c>
      <c r="D44" s="134" t="s">
        <v>1780</v>
      </c>
      <c r="E44" s="134" t="s">
        <v>1795</v>
      </c>
      <c r="F44" s="135">
        <v>91238.399999999994</v>
      </c>
      <c r="G44" s="135">
        <v>90326.015999999989</v>
      </c>
      <c r="H44" s="135">
        <f t="shared" si="0"/>
        <v>912.38400000000547</v>
      </c>
      <c r="I44" s="136">
        <v>0.315</v>
      </c>
      <c r="J44" s="137">
        <v>9</v>
      </c>
    </row>
    <row r="45" spans="2:10" s="3" customFormat="1" ht="18" customHeight="1">
      <c r="B45" s="134" t="s">
        <v>1793</v>
      </c>
      <c r="C45" s="134" t="s">
        <v>1779</v>
      </c>
      <c r="D45" s="134" t="s">
        <v>1783</v>
      </c>
      <c r="E45" s="134" t="s">
        <v>1795</v>
      </c>
      <c r="F45" s="135">
        <v>92620.800000000003</v>
      </c>
      <c r="G45" s="135">
        <v>104661.504</v>
      </c>
      <c r="H45" s="135">
        <f t="shared" si="0"/>
        <v>-12040.703999999998</v>
      </c>
      <c r="I45" s="136">
        <v>0.255</v>
      </c>
      <c r="J45" s="137">
        <v>9</v>
      </c>
    </row>
    <row r="46" spans="2:10" s="3" customFormat="1" ht="18" customHeight="1">
      <c r="B46" s="134" t="s">
        <v>1793</v>
      </c>
      <c r="C46" s="134" t="s">
        <v>1779</v>
      </c>
      <c r="D46" s="134" t="s">
        <v>1783</v>
      </c>
      <c r="E46" s="134" t="s">
        <v>1794</v>
      </c>
      <c r="F46" s="135">
        <v>69465.600000000006</v>
      </c>
      <c r="G46" s="135">
        <v>66686.975999999995</v>
      </c>
      <c r="H46" s="135">
        <f t="shared" si="0"/>
        <v>2778.6240000000107</v>
      </c>
      <c r="I46" s="136">
        <v>0.56399999999999995</v>
      </c>
      <c r="J46" s="137">
        <v>8</v>
      </c>
    </row>
    <row r="47" spans="2:10" s="3" customFormat="1" ht="18" customHeight="1">
      <c r="B47" s="134" t="s">
        <v>1793</v>
      </c>
      <c r="C47" s="134" t="s">
        <v>1779</v>
      </c>
      <c r="D47" s="134" t="s">
        <v>1783</v>
      </c>
      <c r="E47" s="134" t="s">
        <v>1795</v>
      </c>
      <c r="F47" s="135">
        <v>154275.84</v>
      </c>
      <c r="G47" s="135">
        <v>143476.5312</v>
      </c>
      <c r="H47" s="135">
        <f t="shared" si="0"/>
        <v>10799.308799999999</v>
      </c>
      <c r="I47" s="136">
        <v>0.318</v>
      </c>
      <c r="J47" s="137">
        <v>4</v>
      </c>
    </row>
    <row r="48" spans="2:10" s="3" customFormat="1" ht="18" customHeight="1">
      <c r="B48" s="134" t="s">
        <v>1793</v>
      </c>
      <c r="C48" s="134" t="s">
        <v>1779</v>
      </c>
      <c r="D48" s="134" t="s">
        <v>1783</v>
      </c>
      <c r="E48" s="134" t="s">
        <v>1794</v>
      </c>
      <c r="F48" s="135">
        <v>113923.584</v>
      </c>
      <c r="G48" s="135">
        <v>93417.338879999996</v>
      </c>
      <c r="H48" s="135">
        <f t="shared" si="0"/>
        <v>20506.245120000007</v>
      </c>
      <c r="I48" s="136">
        <v>0.187</v>
      </c>
      <c r="J48" s="137">
        <v>5</v>
      </c>
    </row>
    <row r="49" spans="2:10" s="3" customFormat="1" ht="18" customHeight="1">
      <c r="B49" s="134" t="s">
        <v>1793</v>
      </c>
      <c r="C49" s="134" t="s">
        <v>1779</v>
      </c>
      <c r="D49" s="134" t="s">
        <v>1784</v>
      </c>
      <c r="E49" s="134" t="s">
        <v>1795</v>
      </c>
      <c r="F49" s="135">
        <v>94936.320000000007</v>
      </c>
      <c r="G49" s="135">
        <v>77847.782399999996</v>
      </c>
      <c r="H49" s="135">
        <f t="shared" si="0"/>
        <v>17088.537600000011</v>
      </c>
      <c r="I49" s="136">
        <v>0.13400000000000001</v>
      </c>
      <c r="J49" s="137">
        <v>4</v>
      </c>
    </row>
    <row r="50" spans="2:10" s="3" customFormat="1" ht="18" customHeight="1">
      <c r="B50" s="134" t="s">
        <v>1793</v>
      </c>
      <c r="C50" s="134" t="s">
        <v>1779</v>
      </c>
      <c r="D50" s="134" t="s">
        <v>1784</v>
      </c>
      <c r="E50" s="134" t="s">
        <v>1794</v>
      </c>
      <c r="F50" s="135">
        <v>91463.039999999994</v>
      </c>
      <c r="G50" s="135">
        <v>72255.801599999992</v>
      </c>
      <c r="H50" s="135">
        <f t="shared" si="0"/>
        <v>19207.238400000002</v>
      </c>
      <c r="I50" s="136">
        <v>0.27600000000000002</v>
      </c>
      <c r="J50" s="137">
        <v>5</v>
      </c>
    </row>
    <row r="51" spans="2:10" s="3" customFormat="1" ht="18" customHeight="1">
      <c r="B51" s="134" t="s">
        <v>1793</v>
      </c>
      <c r="C51" s="134" t="s">
        <v>1779</v>
      </c>
      <c r="D51" s="134" t="s">
        <v>1784</v>
      </c>
      <c r="E51" s="134" t="s">
        <v>1795</v>
      </c>
      <c r="F51" s="135">
        <v>1447185.6</v>
      </c>
      <c r="G51" s="135">
        <v>1287995.1840000001</v>
      </c>
      <c r="H51" s="135">
        <f t="shared" si="0"/>
        <v>159190.41599999997</v>
      </c>
      <c r="I51" s="136">
        <v>0.23300000000000001</v>
      </c>
      <c r="J51" s="137">
        <v>9</v>
      </c>
    </row>
    <row r="52" spans="2:10" s="3" customFormat="1" ht="18" customHeight="1">
      <c r="B52" s="134" t="s">
        <v>1793</v>
      </c>
      <c r="C52" s="134" t="s">
        <v>1779</v>
      </c>
      <c r="D52" s="134" t="s">
        <v>1784</v>
      </c>
      <c r="E52" s="134" t="s">
        <v>1794</v>
      </c>
      <c r="F52" s="135">
        <v>154275.84</v>
      </c>
      <c r="G52" s="135">
        <v>143476.5312</v>
      </c>
      <c r="H52" s="135">
        <f t="shared" si="0"/>
        <v>10799.308799999999</v>
      </c>
      <c r="I52" s="136">
        <v>0.247</v>
      </c>
      <c r="J52" s="137">
        <v>8</v>
      </c>
    </row>
    <row r="53" spans="2:10" s="3" customFormat="1" ht="18" customHeight="1">
      <c r="B53" s="134" t="s">
        <v>1793</v>
      </c>
      <c r="C53" s="134" t="s">
        <v>1779</v>
      </c>
      <c r="D53" s="134" t="s">
        <v>1784</v>
      </c>
      <c r="E53" s="134" t="s">
        <v>1795</v>
      </c>
      <c r="F53" s="135">
        <v>113923.584</v>
      </c>
      <c r="G53" s="135">
        <v>93417.338879999996</v>
      </c>
      <c r="H53" s="135">
        <f t="shared" si="0"/>
        <v>20506.245120000007</v>
      </c>
      <c r="I53" s="136">
        <v>0.35599999999999998</v>
      </c>
      <c r="J53" s="137">
        <v>2</v>
      </c>
    </row>
    <row r="54" spans="2:10" s="3" customFormat="1" ht="18" customHeight="1">
      <c r="B54" s="134" t="s">
        <v>1796</v>
      </c>
      <c r="C54" s="134" t="s">
        <v>1786</v>
      </c>
      <c r="D54" s="134" t="s">
        <v>1787</v>
      </c>
      <c r="E54" s="134" t="s">
        <v>1781</v>
      </c>
      <c r="F54" s="135">
        <v>1205988</v>
      </c>
      <c r="G54" s="135">
        <v>1073329.32</v>
      </c>
      <c r="H54" s="135">
        <f t="shared" si="0"/>
        <v>132658.67999999993</v>
      </c>
      <c r="I54" s="136">
        <v>0.432</v>
      </c>
      <c r="J54" s="137">
        <v>10</v>
      </c>
    </row>
    <row r="55" spans="2:10" s="3" customFormat="1" ht="18" customHeight="1">
      <c r="B55" s="134" t="s">
        <v>1796</v>
      </c>
      <c r="C55" s="134" t="s">
        <v>1786</v>
      </c>
      <c r="D55" s="134" t="s">
        <v>1787</v>
      </c>
      <c r="E55" s="134" t="s">
        <v>1781</v>
      </c>
      <c r="F55" s="135">
        <f>128563.2+200000</f>
        <v>328563.20000000001</v>
      </c>
      <c r="G55" s="135">
        <v>305563.77600000001</v>
      </c>
      <c r="H55" s="135">
        <f t="shared" si="0"/>
        <v>22999.423999999999</v>
      </c>
      <c r="I55" s="138">
        <v>0.39800000000000002</v>
      </c>
      <c r="J55" s="137">
        <v>3</v>
      </c>
    </row>
    <row r="56" spans="2:10" s="3" customFormat="1" ht="18" customHeight="1">
      <c r="B56" s="134" t="s">
        <v>1797</v>
      </c>
      <c r="C56" s="134" t="s">
        <v>1786</v>
      </c>
      <c r="D56" s="134" t="s">
        <v>1787</v>
      </c>
      <c r="E56" s="134" t="s">
        <v>1782</v>
      </c>
      <c r="F56" s="135">
        <v>71676</v>
      </c>
      <c r="G56" s="135">
        <v>70959.240000000005</v>
      </c>
      <c r="H56" s="135">
        <f t="shared" si="0"/>
        <v>716.75999999999476</v>
      </c>
      <c r="I56" s="136">
        <v>0.53300000000000003</v>
      </c>
      <c r="J56" s="137">
        <v>1</v>
      </c>
    </row>
    <row r="57" spans="2:10" s="3" customFormat="1" ht="18" customHeight="1">
      <c r="B57" s="134" t="s">
        <v>1797</v>
      </c>
      <c r="C57" s="134" t="s">
        <v>1786</v>
      </c>
      <c r="D57" s="134" t="s">
        <v>1787</v>
      </c>
      <c r="E57" s="134" t="s">
        <v>1794</v>
      </c>
      <c r="F57" s="135">
        <v>51480</v>
      </c>
      <c r="G57" s="135">
        <v>58172.4</v>
      </c>
      <c r="H57" s="135">
        <f t="shared" si="0"/>
        <v>-6692.4000000000015</v>
      </c>
      <c r="I57" s="138">
        <v>0.26500000000000001</v>
      </c>
      <c r="J57" s="137">
        <v>9</v>
      </c>
    </row>
    <row r="58" spans="2:10" s="3" customFormat="1" ht="18" customHeight="1">
      <c r="B58" s="134" t="s">
        <v>1797</v>
      </c>
      <c r="C58" s="134" t="s">
        <v>1786</v>
      </c>
      <c r="D58" s="134" t="s">
        <v>1787</v>
      </c>
      <c r="E58" s="134" t="s">
        <v>1794</v>
      </c>
      <c r="F58" s="135">
        <v>39600</v>
      </c>
      <c r="G58" s="135">
        <v>38016</v>
      </c>
      <c r="H58" s="135">
        <f t="shared" si="0"/>
        <v>1584</v>
      </c>
      <c r="I58" s="136">
        <v>0.56399999999999995</v>
      </c>
      <c r="J58" s="137">
        <v>2</v>
      </c>
    </row>
    <row r="59" spans="2:10" s="3" customFormat="1" ht="18" customHeight="1">
      <c r="B59" s="134" t="s">
        <v>1797</v>
      </c>
      <c r="C59" s="134" t="s">
        <v>1786</v>
      </c>
      <c r="D59" s="134" t="s">
        <v>1787</v>
      </c>
      <c r="E59" s="134" t="s">
        <v>1795</v>
      </c>
      <c r="F59" s="135">
        <v>79113.600000000006</v>
      </c>
      <c r="G59" s="135">
        <v>64873.152000000002</v>
      </c>
      <c r="H59" s="135">
        <f t="shared" si="0"/>
        <v>14240.448000000004</v>
      </c>
      <c r="I59" s="136">
        <v>0.27600000000000002</v>
      </c>
      <c r="J59" s="137">
        <v>0</v>
      </c>
    </row>
    <row r="60" spans="2:10" s="3" customFormat="1" ht="18" customHeight="1">
      <c r="B60" s="134" t="s">
        <v>1797</v>
      </c>
      <c r="C60" s="134" t="s">
        <v>1786</v>
      </c>
      <c r="D60" s="134" t="s">
        <v>1787</v>
      </c>
      <c r="E60" s="134" t="s">
        <v>1795</v>
      </c>
      <c r="F60" s="135">
        <v>79113.600000000006</v>
      </c>
      <c r="G60" s="135">
        <v>64873.152000000002</v>
      </c>
      <c r="H60" s="135">
        <f t="shared" si="0"/>
        <v>14240.448000000004</v>
      </c>
      <c r="I60" s="136">
        <v>0.54400000000000004</v>
      </c>
      <c r="J60" s="137">
        <v>6</v>
      </c>
    </row>
    <row r="61" spans="2:10" s="3" customFormat="1" ht="18" customHeight="1">
      <c r="B61" s="134" t="s">
        <v>1797</v>
      </c>
      <c r="C61" s="134" t="s">
        <v>1786</v>
      </c>
      <c r="D61" s="134" t="s">
        <v>1787</v>
      </c>
      <c r="E61" s="134" t="s">
        <v>1795</v>
      </c>
      <c r="F61" s="135">
        <v>57888</v>
      </c>
      <c r="G61" s="135">
        <v>55572.480000000003</v>
      </c>
      <c r="H61" s="135">
        <f t="shared" si="0"/>
        <v>2315.5199999999968</v>
      </c>
      <c r="I61" s="136">
        <v>0.315</v>
      </c>
      <c r="J61" s="137">
        <v>5</v>
      </c>
    </row>
    <row r="62" spans="2:10" s="3" customFormat="1" ht="18" customHeight="1">
      <c r="B62" s="134" t="s">
        <v>1797</v>
      </c>
      <c r="C62" s="134" t="s">
        <v>1786</v>
      </c>
      <c r="D62" s="134" t="s">
        <v>1787</v>
      </c>
      <c r="E62" s="134" t="s">
        <v>1795</v>
      </c>
      <c r="F62" s="135">
        <v>57888</v>
      </c>
      <c r="G62" s="135">
        <v>55572.480000000003</v>
      </c>
      <c r="H62" s="135">
        <f t="shared" si="0"/>
        <v>2315.5199999999968</v>
      </c>
      <c r="I62" s="136">
        <v>0.187</v>
      </c>
      <c r="J62" s="137">
        <v>3</v>
      </c>
    </row>
    <row r="63" spans="2:10" s="3" customFormat="1" ht="18" customHeight="1">
      <c r="B63" s="134" t="s">
        <v>1797</v>
      </c>
      <c r="C63" s="134" t="s">
        <v>1788</v>
      </c>
      <c r="D63" s="134" t="s">
        <v>1789</v>
      </c>
      <c r="E63" s="134" t="s">
        <v>1794</v>
      </c>
      <c r="F63" s="135">
        <v>52800</v>
      </c>
      <c r="G63" s="135">
        <v>59664</v>
      </c>
      <c r="H63" s="135">
        <f t="shared" si="0"/>
        <v>-6864</v>
      </c>
      <c r="I63" s="136">
        <v>0.255</v>
      </c>
      <c r="J63" s="137">
        <v>8</v>
      </c>
    </row>
    <row r="64" spans="2:10" s="3" customFormat="1" ht="18" customHeight="1">
      <c r="B64" s="134" t="s">
        <v>1797</v>
      </c>
      <c r="C64" s="134" t="s">
        <v>1788</v>
      </c>
      <c r="D64" s="134" t="s">
        <v>1789</v>
      </c>
      <c r="E64" s="134" t="s">
        <v>1794</v>
      </c>
      <c r="F64" s="135">
        <v>52140</v>
      </c>
      <c r="G64" s="135">
        <v>41190.6</v>
      </c>
      <c r="H64" s="135">
        <f t="shared" si="0"/>
        <v>10949.400000000001</v>
      </c>
      <c r="I64" s="136">
        <v>0.35599999999999998</v>
      </c>
      <c r="J64" s="137">
        <v>5</v>
      </c>
    </row>
    <row r="65" spans="2:10" s="3" customFormat="1" ht="18" customHeight="1">
      <c r="B65" s="134" t="s">
        <v>1797</v>
      </c>
      <c r="C65" s="134" t="s">
        <v>1788</v>
      </c>
      <c r="D65" s="134" t="s">
        <v>1789</v>
      </c>
      <c r="E65" s="134" t="s">
        <v>1794</v>
      </c>
      <c r="F65" s="135">
        <v>52140</v>
      </c>
      <c r="G65" s="135">
        <v>41190.6</v>
      </c>
      <c r="H65" s="135">
        <f t="shared" si="0"/>
        <v>10949.400000000001</v>
      </c>
      <c r="I65" s="136">
        <v>0.27600000000000002</v>
      </c>
      <c r="J65" s="137">
        <v>6</v>
      </c>
    </row>
    <row r="66" spans="2:10" s="3" customFormat="1" ht="18" customHeight="1">
      <c r="B66" s="134" t="s">
        <v>1797</v>
      </c>
      <c r="C66" s="134" t="s">
        <v>1788</v>
      </c>
      <c r="D66" s="134" t="s">
        <v>1789</v>
      </c>
      <c r="E66" s="134" t="s">
        <v>1795</v>
      </c>
      <c r="F66" s="135">
        <v>77184</v>
      </c>
      <c r="G66" s="135">
        <v>68693.759999999995</v>
      </c>
      <c r="H66" s="135">
        <f t="shared" si="0"/>
        <v>8490.2400000000052</v>
      </c>
      <c r="I66" s="136">
        <v>0.255</v>
      </c>
      <c r="J66" s="137">
        <v>5</v>
      </c>
    </row>
    <row r="67" spans="2:10" s="3" customFormat="1" ht="18" customHeight="1">
      <c r="B67" s="134" t="s">
        <v>1797</v>
      </c>
      <c r="C67" s="134" t="s">
        <v>1788</v>
      </c>
      <c r="D67" s="134" t="s">
        <v>1789</v>
      </c>
      <c r="E67" s="134" t="s">
        <v>1795</v>
      </c>
      <c r="F67" s="135">
        <v>77184</v>
      </c>
      <c r="G67" s="135">
        <v>87217.919999999998</v>
      </c>
      <c r="H67" s="135">
        <f t="shared" si="0"/>
        <v>-10033.919999999998</v>
      </c>
      <c r="I67" s="136">
        <v>0.56399999999999995</v>
      </c>
      <c r="J67" s="137">
        <v>5</v>
      </c>
    </row>
    <row r="68" spans="2:10" s="3" customFormat="1" ht="18" customHeight="1">
      <c r="B68" s="134" t="s">
        <v>1797</v>
      </c>
      <c r="C68" s="134" t="s">
        <v>1788</v>
      </c>
      <c r="D68" s="134" t="s">
        <v>1789</v>
      </c>
      <c r="E68" s="134" t="s">
        <v>1795</v>
      </c>
      <c r="F68" s="135">
        <v>76219.199999999997</v>
      </c>
      <c r="G68" s="135">
        <v>60213.167999999998</v>
      </c>
      <c r="H68" s="135">
        <f t="shared" si="0"/>
        <v>16006.031999999999</v>
      </c>
      <c r="I68" s="136">
        <v>0.54400000000000004</v>
      </c>
      <c r="J68" s="137">
        <v>1</v>
      </c>
    </row>
    <row r="69" spans="2:10" s="3" customFormat="1" ht="18" customHeight="1">
      <c r="B69" s="134" t="s">
        <v>1797</v>
      </c>
      <c r="C69" s="134" t="s">
        <v>1788</v>
      </c>
      <c r="D69" s="134" t="s">
        <v>1789</v>
      </c>
      <c r="E69" s="134" t="s">
        <v>1795</v>
      </c>
      <c r="F69" s="135">
        <v>75254.399999999994</v>
      </c>
      <c r="G69" s="135">
        <v>58698.432000000001</v>
      </c>
      <c r="H69" s="135">
        <f t="shared" si="0"/>
        <v>16555.967999999993</v>
      </c>
      <c r="I69" s="136">
        <v>0.255</v>
      </c>
      <c r="J69" s="137">
        <v>9</v>
      </c>
    </row>
    <row r="70" spans="2:10" s="3" customFormat="1" ht="18" customHeight="1">
      <c r="B70" s="134" t="s">
        <v>1797</v>
      </c>
      <c r="C70" s="134" t="s">
        <v>1786</v>
      </c>
      <c r="D70" s="134" t="s">
        <v>1790</v>
      </c>
      <c r="E70" s="134" t="s">
        <v>1794</v>
      </c>
      <c r="F70" s="135">
        <v>52800</v>
      </c>
      <c r="G70" s="135">
        <v>46992</v>
      </c>
      <c r="H70" s="135">
        <f t="shared" si="0"/>
        <v>5808</v>
      </c>
      <c r="I70" s="136">
        <v>0.187</v>
      </c>
      <c r="J70" s="137">
        <v>9</v>
      </c>
    </row>
    <row r="71" spans="2:10" s="3" customFormat="1" ht="18" customHeight="1">
      <c r="B71" s="134" t="s">
        <v>1797</v>
      </c>
      <c r="C71" s="134" t="s">
        <v>1786</v>
      </c>
      <c r="D71" s="134" t="s">
        <v>1790</v>
      </c>
      <c r="E71" s="134" t="s">
        <v>1795</v>
      </c>
      <c r="F71" s="135">
        <v>76219.199999999997</v>
      </c>
      <c r="G71" s="135">
        <v>60213.167999999998</v>
      </c>
      <c r="H71" s="135">
        <f t="shared" si="0"/>
        <v>16006.031999999999</v>
      </c>
      <c r="I71" s="136">
        <v>0.26500000000000001</v>
      </c>
      <c r="J71" s="137">
        <v>7</v>
      </c>
    </row>
    <row r="72" spans="2:10" s="3" customFormat="1" ht="18" customHeight="1">
      <c r="B72" s="134" t="s">
        <v>1797</v>
      </c>
      <c r="C72" s="134" t="s">
        <v>1786</v>
      </c>
      <c r="D72" s="134" t="s">
        <v>1790</v>
      </c>
      <c r="E72" s="134" t="s">
        <v>1795</v>
      </c>
      <c r="F72" s="135">
        <v>75254.399999999994</v>
      </c>
      <c r="G72" s="135">
        <v>58698.432000000001</v>
      </c>
      <c r="H72" s="135">
        <f t="shared" si="0"/>
        <v>16555.967999999993</v>
      </c>
      <c r="I72" s="136">
        <v>0.35599999999999998</v>
      </c>
      <c r="J72" s="137">
        <v>5</v>
      </c>
    </row>
    <row r="73" spans="2:10" s="3" customFormat="1" ht="18" customHeight="1">
      <c r="B73" s="134" t="s">
        <v>1797</v>
      </c>
      <c r="C73" s="134" t="s">
        <v>1786</v>
      </c>
      <c r="D73" s="134" t="s">
        <v>1790</v>
      </c>
      <c r="E73" s="134" t="s">
        <v>1781</v>
      </c>
      <c r="F73" s="135">
        <v>296700</v>
      </c>
      <c r="G73" s="135">
        <v>216591</v>
      </c>
      <c r="H73" s="135">
        <f t="shared" si="0"/>
        <v>80109</v>
      </c>
      <c r="I73" s="136">
        <v>0.23300000000000001</v>
      </c>
      <c r="J73" s="137">
        <v>1</v>
      </c>
    </row>
    <row r="74" spans="2:10" s="3" customFormat="1" ht="18" customHeight="1">
      <c r="B74" s="134" t="s">
        <v>1797</v>
      </c>
      <c r="C74" s="134" t="s">
        <v>1788</v>
      </c>
      <c r="D74" s="134" t="s">
        <v>1792</v>
      </c>
      <c r="E74" s="134" t="s">
        <v>1794</v>
      </c>
      <c r="F74" s="135">
        <v>54120</v>
      </c>
      <c r="G74" s="135">
        <v>44378.400000000001</v>
      </c>
      <c r="H74" s="135">
        <f t="shared" si="0"/>
        <v>9741.5999999999985</v>
      </c>
      <c r="I74" s="136">
        <v>0.315</v>
      </c>
      <c r="J74" s="137">
        <v>8</v>
      </c>
    </row>
    <row r="75" spans="2:10" s="3" customFormat="1" ht="18" customHeight="1">
      <c r="B75" s="134" t="s">
        <v>1797</v>
      </c>
      <c r="C75" s="134" t="s">
        <v>1788</v>
      </c>
      <c r="D75" s="134" t="s">
        <v>1792</v>
      </c>
      <c r="E75" s="134" t="s">
        <v>1794</v>
      </c>
      <c r="F75" s="135">
        <v>54120</v>
      </c>
      <c r="G75" s="135">
        <v>44378.400000000001</v>
      </c>
      <c r="H75" s="135">
        <f>F75-G75</f>
        <v>9741.5999999999985</v>
      </c>
      <c r="I75" s="136">
        <v>0.56399999999999995</v>
      </c>
      <c r="J75" s="137">
        <v>3</v>
      </c>
    </row>
    <row r="76" spans="2:10" s="3" customFormat="1" ht="18" customHeight="1">
      <c r="B76" s="134" t="s">
        <v>1797</v>
      </c>
      <c r="C76" s="134" t="s">
        <v>1788</v>
      </c>
      <c r="D76" s="134" t="s">
        <v>1792</v>
      </c>
      <c r="E76" s="134" t="s">
        <v>1794</v>
      </c>
      <c r="F76" s="135">
        <v>51480</v>
      </c>
      <c r="G76" s="135">
        <v>40154.400000000001</v>
      </c>
      <c r="H76" s="135">
        <f>F76-G76</f>
        <v>11325.599999999999</v>
      </c>
      <c r="I76" s="136">
        <v>0.255</v>
      </c>
      <c r="J76" s="137">
        <v>2</v>
      </c>
    </row>
    <row r="77" spans="2:10" s="3" customFormat="1" ht="18" customHeight="1">
      <c r="B77" s="134" t="s">
        <v>1797</v>
      </c>
      <c r="C77" s="134" t="s">
        <v>1788</v>
      </c>
      <c r="D77" s="134" t="s">
        <v>1792</v>
      </c>
      <c r="E77" s="134" t="s">
        <v>1794</v>
      </c>
      <c r="F77" s="135">
        <v>39600</v>
      </c>
      <c r="G77" s="135">
        <v>38016</v>
      </c>
      <c r="H77" s="135">
        <f>F77-G77</f>
        <v>1584</v>
      </c>
      <c r="I77" s="136">
        <v>0.54400000000000004</v>
      </c>
      <c r="J77" s="137">
        <v>8</v>
      </c>
    </row>
    <row r="78" spans="2:10" s="3" customFormat="1" ht="18" customHeight="1">
      <c r="B78" s="134" t="s">
        <v>1797</v>
      </c>
      <c r="C78" s="134" t="s">
        <v>1788</v>
      </c>
      <c r="D78" s="134" t="s">
        <v>1792</v>
      </c>
      <c r="E78" s="134" t="s">
        <v>1795</v>
      </c>
      <c r="F78" s="135">
        <v>79113.600000000006</v>
      </c>
      <c r="G78" s="135">
        <v>64873.152000000002</v>
      </c>
      <c r="H78" s="135">
        <f>F78-G78</f>
        <v>14240.448000000004</v>
      </c>
      <c r="I78" s="136">
        <v>0.255</v>
      </c>
      <c r="J78" s="137">
        <v>9</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dimension ref="A1:J78"/>
  <sheetViews>
    <sheetView showGridLines="0" topLeftCell="A10" workbookViewId="0">
      <selection activeCell="F4" sqref="F4"/>
    </sheetView>
  </sheetViews>
  <sheetFormatPr defaultRowHeight="15.75"/>
  <cols>
    <col min="1" max="1" width="5.42578125" style="142" customWidth="1"/>
    <col min="2" max="2" width="13" style="142" bestFit="1" customWidth="1"/>
    <col min="3" max="3" width="11" style="142" bestFit="1" customWidth="1"/>
    <col min="4" max="4" width="14.28515625" style="142" bestFit="1" customWidth="1"/>
    <col min="5" max="5" width="14.85546875" style="142" bestFit="1" customWidth="1"/>
    <col min="6" max="7" width="18" style="142" bestFit="1" customWidth="1"/>
    <col min="8" max="8" width="15.5703125" style="142" bestFit="1" customWidth="1"/>
    <col min="9" max="9" width="13.7109375" style="142" bestFit="1" customWidth="1"/>
    <col min="10" max="10" width="11" style="142" bestFit="1" customWidth="1"/>
    <col min="11" max="16384" width="9.140625" style="142"/>
  </cols>
  <sheetData>
    <row r="1" spans="1:10" ht="30">
      <c r="A1" s="113" t="s">
        <v>1855</v>
      </c>
      <c r="B1" s="114"/>
      <c r="C1" s="3"/>
      <c r="D1" s="3"/>
      <c r="E1" s="637" t="s">
        <v>2056</v>
      </c>
      <c r="F1" s="3"/>
      <c r="G1" s="3"/>
    </row>
    <row r="2" spans="1:10" ht="30">
      <c r="A2" s="113"/>
      <c r="B2" s="114"/>
      <c r="C2" s="3"/>
      <c r="D2" s="3"/>
      <c r="E2" s="3"/>
      <c r="F2" s="3"/>
      <c r="G2" s="3"/>
    </row>
    <row r="3" spans="1:10" ht="17.25" customHeight="1">
      <c r="A3" s="115"/>
      <c r="B3" s="114"/>
      <c r="C3" s="271" t="s">
        <v>1774</v>
      </c>
      <c r="D3" s="3"/>
      <c r="E3" s="179" t="s">
        <v>1853</v>
      </c>
      <c r="F3" s="272">
        <f>DCOUNTA($B$10:$J$78,5,$C$3:$C$4)</f>
        <v>27</v>
      </c>
      <c r="G3" s="272">
        <f>DCOUNTA($B$10:$J$78,6,$C$3:$C$4)</f>
        <v>27</v>
      </c>
      <c r="H3" s="272">
        <f>DCOUNTA($B$10:$J$78,7,$C$3:$C$4)</f>
        <v>27</v>
      </c>
      <c r="I3" s="223"/>
      <c r="J3" s="272">
        <f>DCOUNTA($B$10:$J$78,9,$C$3:$C$4)</f>
        <v>25</v>
      </c>
    </row>
    <row r="4" spans="1:10" ht="17.25" customHeight="1">
      <c r="A4" s="115"/>
      <c r="B4" s="114"/>
      <c r="C4" s="273" t="s">
        <v>1854</v>
      </c>
      <c r="E4" s="177" t="s">
        <v>1020</v>
      </c>
      <c r="F4" s="274">
        <f>DSUM($B$10:$J$78,5,$C$3:$C$4)</f>
        <v>7643947.7120000012</v>
      </c>
      <c r="G4" s="274">
        <f>DSUM($B$10:$J$78,6,$C$3:$C$4)</f>
        <v>6768750.8614400001</v>
      </c>
      <c r="H4" s="274">
        <f>DSUM($B$10:$J$78,7,$C$3:$C$4)</f>
        <v>875196.85055999993</v>
      </c>
      <c r="I4" s="274"/>
      <c r="J4" s="275">
        <f>DSUM($B$10:$J$78,9,$C$3:$C$4)</f>
        <v>126</v>
      </c>
    </row>
    <row r="5" spans="1:10" ht="16.5" customHeight="1">
      <c r="A5" s="115"/>
      <c r="B5" s="114"/>
      <c r="C5" s="3"/>
      <c r="G5" s="3"/>
    </row>
    <row r="6" spans="1:10" ht="16.5" customHeight="1"/>
    <row r="7" spans="1:10" s="3" customFormat="1" ht="16.5" customHeight="1">
      <c r="B7" s="119" t="s">
        <v>1772</v>
      </c>
      <c r="C7" s="120"/>
      <c r="D7" s="120"/>
      <c r="E7" s="120"/>
      <c r="F7" s="121"/>
      <c r="G7" s="121"/>
      <c r="H7" s="121"/>
      <c r="I7" s="120"/>
      <c r="J7" s="122"/>
    </row>
    <row r="8" spans="1:10" s="3" customFormat="1" ht="18">
      <c r="B8" s="276" t="s">
        <v>1799</v>
      </c>
      <c r="C8" s="124"/>
      <c r="D8" s="124"/>
      <c r="E8" s="124"/>
      <c r="F8" s="125"/>
      <c r="G8" s="125"/>
      <c r="H8" s="125"/>
      <c r="I8" s="124"/>
      <c r="J8" s="126"/>
    </row>
    <row r="9" spans="1:10" s="3" customFormat="1" ht="18" hidden="1">
      <c r="B9" s="127"/>
      <c r="C9" s="128"/>
      <c r="D9" s="128"/>
      <c r="E9" s="128"/>
      <c r="F9" s="129"/>
      <c r="G9" s="129"/>
      <c r="H9" s="129"/>
      <c r="I9" s="128"/>
    </row>
    <row r="10" spans="1:10" s="3" customFormat="1" ht="39" customHeight="1" thickBot="1">
      <c r="B10" s="130" t="s">
        <v>1770</v>
      </c>
      <c r="C10" s="130" t="s">
        <v>176</v>
      </c>
      <c r="D10" s="130" t="s">
        <v>175</v>
      </c>
      <c r="E10" s="130" t="s">
        <v>264</v>
      </c>
      <c r="F10" s="131" t="s">
        <v>1774</v>
      </c>
      <c r="G10" s="131" t="s">
        <v>1775</v>
      </c>
      <c r="H10" s="132" t="s">
        <v>1776</v>
      </c>
      <c r="I10" s="133" t="s">
        <v>1777</v>
      </c>
      <c r="J10" s="133" t="s">
        <v>1778</v>
      </c>
    </row>
    <row r="11" spans="1:10" s="3" customFormat="1" ht="18" customHeight="1">
      <c r="B11" s="134" t="s">
        <v>1771</v>
      </c>
      <c r="C11" s="134" t="s">
        <v>1779</v>
      </c>
      <c r="D11" s="134" t="s">
        <v>1780</v>
      </c>
      <c r="E11" s="134" t="s">
        <v>1781</v>
      </c>
      <c r="F11" s="135">
        <v>47520</v>
      </c>
      <c r="G11" s="135">
        <v>45619.199999999997</v>
      </c>
      <c r="H11" s="135">
        <f t="shared" ref="H11:H74" si="0">F11-G11</f>
        <v>1900.8000000000029</v>
      </c>
      <c r="I11" s="136">
        <v>0.247</v>
      </c>
      <c r="J11" s="137">
        <v>6</v>
      </c>
    </row>
    <row r="12" spans="1:10" s="3" customFormat="1" ht="18" customHeight="1">
      <c r="B12" s="134" t="s">
        <v>1771</v>
      </c>
      <c r="C12" s="134" t="s">
        <v>1779</v>
      </c>
      <c r="D12" s="134" t="s">
        <v>1780</v>
      </c>
      <c r="E12" s="134" t="s">
        <v>1782</v>
      </c>
      <c r="F12" s="135">
        <v>91463.039999999994</v>
      </c>
      <c r="G12" s="135">
        <v>72255.801599999992</v>
      </c>
      <c r="H12" s="135">
        <f t="shared" si="0"/>
        <v>19207.238400000002</v>
      </c>
      <c r="I12" s="136">
        <v>0.35599999999999998</v>
      </c>
      <c r="J12" s="137">
        <v>8</v>
      </c>
    </row>
    <row r="13" spans="1:10" s="3" customFormat="1" ht="18" customHeight="1">
      <c r="B13" s="134" t="s">
        <v>1771</v>
      </c>
      <c r="C13" s="134" t="s">
        <v>1779</v>
      </c>
      <c r="D13" s="134" t="s">
        <v>1780</v>
      </c>
      <c r="E13" s="134" t="s">
        <v>1781</v>
      </c>
      <c r="F13" s="135">
        <v>356040</v>
      </c>
      <c r="G13" s="135">
        <v>259909.2</v>
      </c>
      <c r="H13" s="135">
        <f t="shared" si="0"/>
        <v>96130.799999999988</v>
      </c>
      <c r="I13" s="136">
        <v>0.255</v>
      </c>
      <c r="J13" s="137">
        <v>2</v>
      </c>
    </row>
    <row r="14" spans="1:10" s="3" customFormat="1" ht="18" customHeight="1">
      <c r="B14" s="134" t="s">
        <v>1771</v>
      </c>
      <c r="C14" s="134" t="s">
        <v>1779</v>
      </c>
      <c r="D14" s="134" t="s">
        <v>1780</v>
      </c>
      <c r="E14" s="134" t="s">
        <v>1782</v>
      </c>
      <c r="F14" s="135">
        <v>154275.84</v>
      </c>
      <c r="G14" s="135">
        <v>143476.5312</v>
      </c>
      <c r="H14" s="135">
        <f t="shared" si="0"/>
        <v>10799.308799999999</v>
      </c>
      <c r="I14" s="136">
        <v>0.65</v>
      </c>
      <c r="J14" s="137">
        <v>9</v>
      </c>
    </row>
    <row r="15" spans="1:10" s="3" customFormat="1" ht="18" customHeight="1">
      <c r="B15" s="134" t="s">
        <v>1771</v>
      </c>
      <c r="C15" s="134" t="s">
        <v>1779</v>
      </c>
      <c r="D15" s="134" t="s">
        <v>1780</v>
      </c>
      <c r="E15" s="134" t="s">
        <v>1781</v>
      </c>
      <c r="F15" s="135">
        <v>113923.584</v>
      </c>
      <c r="G15" s="135">
        <v>93417.338879999996</v>
      </c>
      <c r="H15" s="135">
        <f t="shared" si="0"/>
        <v>20506.245120000007</v>
      </c>
      <c r="I15" s="136">
        <v>0.255</v>
      </c>
      <c r="J15" s="137">
        <v>6</v>
      </c>
    </row>
    <row r="16" spans="1:10" s="3" customFormat="1" ht="18" customHeight="1">
      <c r="B16" s="134" t="s">
        <v>1771</v>
      </c>
      <c r="C16" s="134" t="s">
        <v>1779</v>
      </c>
      <c r="D16" s="134" t="s">
        <v>1783</v>
      </c>
      <c r="E16" s="134" t="s">
        <v>1782</v>
      </c>
      <c r="F16" s="135">
        <v>94936.320000000007</v>
      </c>
      <c r="G16" s="135">
        <v>77847.782399999996</v>
      </c>
      <c r="H16" s="135">
        <f t="shared" si="0"/>
        <v>17088.537600000011</v>
      </c>
      <c r="I16" s="136">
        <v>0.315</v>
      </c>
      <c r="J16" s="137">
        <v>9</v>
      </c>
    </row>
    <row r="17" spans="2:10" s="3" customFormat="1" ht="18" customHeight="1">
      <c r="B17" s="134" t="s">
        <v>1771</v>
      </c>
      <c r="C17" s="134" t="s">
        <v>1779</v>
      </c>
      <c r="D17" s="134" t="s">
        <v>1783</v>
      </c>
      <c r="E17" s="134" t="s">
        <v>1781</v>
      </c>
      <c r="F17" s="135">
        <v>90305.279999999999</v>
      </c>
      <c r="G17" s="135">
        <v>70438.118399999992</v>
      </c>
      <c r="H17" s="135">
        <f t="shared" si="0"/>
        <v>19867.161600000007</v>
      </c>
      <c r="I17" s="136">
        <v>0.255</v>
      </c>
      <c r="J17" s="137"/>
    </row>
    <row r="18" spans="2:10" s="3" customFormat="1" ht="18" customHeight="1">
      <c r="B18" s="134" t="s">
        <v>1771</v>
      </c>
      <c r="C18" s="134" t="s">
        <v>1779</v>
      </c>
      <c r="D18" s="134" t="s">
        <v>1783</v>
      </c>
      <c r="E18" s="134" t="s">
        <v>1782</v>
      </c>
      <c r="F18" s="135">
        <v>394275.84000000003</v>
      </c>
      <c r="G18" s="135">
        <v>366676.53120000003</v>
      </c>
      <c r="H18" s="135">
        <f t="shared" si="0"/>
        <v>27599.308799999999</v>
      </c>
      <c r="I18" s="136">
        <v>0.154</v>
      </c>
      <c r="J18" s="137">
        <v>0</v>
      </c>
    </row>
    <row r="19" spans="2:10" s="3" customFormat="1" ht="18" customHeight="1">
      <c r="B19" s="134" t="s">
        <v>1771</v>
      </c>
      <c r="C19" s="134" t="s">
        <v>1779</v>
      </c>
      <c r="D19" s="134" t="s">
        <v>1783</v>
      </c>
      <c r="E19" s="134" t="s">
        <v>1781</v>
      </c>
      <c r="F19" s="135">
        <v>116121.60000000001</v>
      </c>
      <c r="G19" s="135">
        <v>84768.767999999996</v>
      </c>
      <c r="H19" s="135">
        <f t="shared" si="0"/>
        <v>31352.832000000009</v>
      </c>
      <c r="I19" s="136">
        <v>0.13400000000000001</v>
      </c>
      <c r="J19" s="137">
        <v>3</v>
      </c>
    </row>
    <row r="20" spans="2:10" s="3" customFormat="1" ht="18" customHeight="1">
      <c r="B20" s="134" t="s">
        <v>1771</v>
      </c>
      <c r="C20" s="134" t="s">
        <v>1779</v>
      </c>
      <c r="D20" s="134" t="s">
        <v>1784</v>
      </c>
      <c r="E20" s="134" t="s">
        <v>1781</v>
      </c>
      <c r="F20" s="135">
        <v>92620.800000000003</v>
      </c>
      <c r="G20" s="135">
        <v>82432.511999999988</v>
      </c>
      <c r="H20" s="135">
        <f t="shared" si="0"/>
        <v>10188.288000000015</v>
      </c>
      <c r="I20" s="136">
        <v>0.187</v>
      </c>
      <c r="J20" s="137">
        <v>3</v>
      </c>
    </row>
    <row r="21" spans="2:10" s="3" customFormat="1" ht="18" customHeight="1">
      <c r="B21" s="134" t="s">
        <v>1771</v>
      </c>
      <c r="C21" s="134" t="s">
        <v>1779</v>
      </c>
      <c r="D21" s="134" t="s">
        <v>1784</v>
      </c>
      <c r="E21" s="134" t="s">
        <v>1782</v>
      </c>
      <c r="F21" s="135">
        <v>69465.600000000006</v>
      </c>
      <c r="G21" s="135">
        <v>66686.975999999995</v>
      </c>
      <c r="H21" s="135">
        <f t="shared" si="0"/>
        <v>2778.6240000000107</v>
      </c>
      <c r="I21" s="136">
        <v>0.54400000000000004</v>
      </c>
      <c r="J21" s="137">
        <v>9</v>
      </c>
    </row>
    <row r="22" spans="2:10" s="3" customFormat="1" ht="18" customHeight="1">
      <c r="B22" s="134" t="s">
        <v>1771</v>
      </c>
      <c r="C22" s="134" t="s">
        <v>1779</v>
      </c>
      <c r="D22" s="134" t="s">
        <v>1784</v>
      </c>
      <c r="E22" s="134" t="s">
        <v>1781</v>
      </c>
      <c r="F22" s="135">
        <v>261004.79999999999</v>
      </c>
      <c r="G22" s="135">
        <v>221854.07999999999</v>
      </c>
      <c r="H22" s="135">
        <f t="shared" si="0"/>
        <v>39150.720000000001</v>
      </c>
      <c r="I22" s="136">
        <v>0.23300000000000001</v>
      </c>
      <c r="J22" s="137">
        <v>6</v>
      </c>
    </row>
    <row r="23" spans="2:10" s="3" customFormat="1" ht="18" customHeight="1">
      <c r="B23" s="134" t="s">
        <v>1771</v>
      </c>
      <c r="C23" s="134" t="s">
        <v>1779</v>
      </c>
      <c r="D23" s="134" t="s">
        <v>1784</v>
      </c>
      <c r="E23" s="134" t="s">
        <v>1782</v>
      </c>
      <c r="F23" s="135">
        <v>57024</v>
      </c>
      <c r="G23" s="135">
        <v>54743.040000000001</v>
      </c>
      <c r="H23" s="135">
        <f t="shared" si="0"/>
        <v>2280.9599999999991</v>
      </c>
      <c r="I23" s="136">
        <v>0.56399999999999995</v>
      </c>
      <c r="J23" s="137">
        <v>8</v>
      </c>
    </row>
    <row r="24" spans="2:10" s="3" customFormat="1" ht="18" customHeight="1">
      <c r="B24" s="134" t="s">
        <v>1785</v>
      </c>
      <c r="C24" s="134" t="s">
        <v>1786</v>
      </c>
      <c r="D24" s="134" t="s">
        <v>1787</v>
      </c>
      <c r="E24" s="134" t="s">
        <v>1782</v>
      </c>
      <c r="F24" s="135">
        <v>181988</v>
      </c>
      <c r="G24" s="135">
        <v>205646.44</v>
      </c>
      <c r="H24" s="135">
        <f t="shared" si="0"/>
        <v>-23658.440000000002</v>
      </c>
      <c r="I24" s="136">
        <v>0.432</v>
      </c>
      <c r="J24" s="137">
        <v>2</v>
      </c>
    </row>
    <row r="25" spans="2:10" s="3" customFormat="1" ht="18" customHeight="1">
      <c r="B25" s="134" t="s">
        <v>1785</v>
      </c>
      <c r="C25" s="134" t="s">
        <v>1786</v>
      </c>
      <c r="D25" s="134" t="s">
        <v>1787</v>
      </c>
      <c r="E25" s="134" t="s">
        <v>1782</v>
      </c>
      <c r="F25" s="135">
        <v>121197.6</v>
      </c>
      <c r="G25" s="135">
        <v>112713.76800000001</v>
      </c>
      <c r="H25" s="135">
        <f t="shared" si="0"/>
        <v>8483.8319999999949</v>
      </c>
      <c r="I25" s="136">
        <v>0.154</v>
      </c>
      <c r="J25" s="137">
        <v>4</v>
      </c>
    </row>
    <row r="26" spans="2:10" s="3" customFormat="1" ht="18" customHeight="1">
      <c r="B26" s="134" t="s">
        <v>1785</v>
      </c>
      <c r="C26" s="134" t="s">
        <v>1786</v>
      </c>
      <c r="D26" s="134" t="s">
        <v>1787</v>
      </c>
      <c r="E26" s="134" t="s">
        <v>1781</v>
      </c>
      <c r="F26" s="135">
        <v>432900</v>
      </c>
      <c r="G26" s="135">
        <v>367965</v>
      </c>
      <c r="H26" s="135">
        <f t="shared" si="0"/>
        <v>64935</v>
      </c>
      <c r="I26" s="136">
        <v>0.247</v>
      </c>
      <c r="J26" s="137">
        <v>2</v>
      </c>
    </row>
    <row r="27" spans="2:10" s="3" customFormat="1" ht="18" customHeight="1">
      <c r="B27" s="134" t="s">
        <v>1785</v>
      </c>
      <c r="C27" s="134" t="s">
        <v>1786</v>
      </c>
      <c r="D27" s="134" t="s">
        <v>1787</v>
      </c>
      <c r="E27" s="134" t="s">
        <v>1781</v>
      </c>
      <c r="F27" s="135">
        <v>96768</v>
      </c>
      <c r="G27" s="135">
        <v>70640.639999999999</v>
      </c>
      <c r="H27" s="135">
        <f t="shared" si="0"/>
        <v>26127.360000000001</v>
      </c>
      <c r="I27" s="136">
        <v>0.318</v>
      </c>
      <c r="J27" s="137">
        <v>2</v>
      </c>
    </row>
    <row r="28" spans="2:10" s="3" customFormat="1" ht="18" customHeight="1">
      <c r="B28" s="134" t="s">
        <v>1785</v>
      </c>
      <c r="C28" s="134" t="s">
        <v>1788</v>
      </c>
      <c r="D28" s="134" t="s">
        <v>1789</v>
      </c>
      <c r="E28" s="134" t="s">
        <v>1782</v>
      </c>
      <c r="F28" s="135">
        <v>121197.6</v>
      </c>
      <c r="G28" s="135">
        <v>112713.76800000001</v>
      </c>
      <c r="H28" s="135">
        <f t="shared" si="0"/>
        <v>8483.8319999999949</v>
      </c>
      <c r="I28" s="136">
        <v>0.45</v>
      </c>
      <c r="J28" s="137">
        <v>13</v>
      </c>
    </row>
    <row r="29" spans="2:10" s="3" customFormat="1" ht="18" customHeight="1">
      <c r="B29" s="134" t="s">
        <v>1785</v>
      </c>
      <c r="C29" s="134" t="s">
        <v>1788</v>
      </c>
      <c r="D29" s="134" t="s">
        <v>1789</v>
      </c>
      <c r="E29" s="134" t="s">
        <v>1782</v>
      </c>
      <c r="F29" s="135">
        <v>121197.6</v>
      </c>
      <c r="G29" s="135">
        <v>112713.76800000001</v>
      </c>
      <c r="H29" s="135">
        <f t="shared" si="0"/>
        <v>8483.8319999999949</v>
      </c>
      <c r="I29" s="136">
        <v>0.23300000000000001</v>
      </c>
      <c r="J29" s="137"/>
    </row>
    <row r="30" spans="2:10" s="3" customFormat="1" ht="18" customHeight="1">
      <c r="B30" s="134" t="s">
        <v>1785</v>
      </c>
      <c r="C30" s="134" t="s">
        <v>1788</v>
      </c>
      <c r="D30" s="134" t="s">
        <v>1789</v>
      </c>
      <c r="E30" s="134" t="s">
        <v>1782</v>
      </c>
      <c r="F30" s="135">
        <v>110772</v>
      </c>
      <c r="G30" s="135">
        <v>94156.2</v>
      </c>
      <c r="H30" s="135">
        <f t="shared" si="0"/>
        <v>16615.800000000003</v>
      </c>
      <c r="I30" s="136">
        <v>0.39800000000000002</v>
      </c>
      <c r="J30" s="137">
        <v>9</v>
      </c>
    </row>
    <row r="31" spans="2:10" s="3" customFormat="1" ht="18" customHeight="1">
      <c r="B31" s="134" t="s">
        <v>1785</v>
      </c>
      <c r="C31" s="134" t="s">
        <v>1786</v>
      </c>
      <c r="D31" s="134" t="s">
        <v>1790</v>
      </c>
      <c r="E31" s="134" t="s">
        <v>1781</v>
      </c>
      <c r="F31" s="135">
        <v>128563.2</v>
      </c>
      <c r="G31" s="135">
        <v>119563.776</v>
      </c>
      <c r="H31" s="135">
        <f t="shared" si="0"/>
        <v>8999.4239999999991</v>
      </c>
      <c r="I31" s="136">
        <v>0.39800000000000002</v>
      </c>
      <c r="J31" s="137">
        <v>8</v>
      </c>
    </row>
    <row r="32" spans="2:10" s="3" customFormat="1" ht="18" customHeight="1">
      <c r="B32" s="134" t="s">
        <v>1785</v>
      </c>
      <c r="C32" s="134" t="s">
        <v>1786</v>
      </c>
      <c r="D32" s="134" t="s">
        <v>1790</v>
      </c>
      <c r="E32" s="134" t="s">
        <v>1781</v>
      </c>
      <c r="F32" s="135">
        <v>128563.2</v>
      </c>
      <c r="G32" s="135">
        <v>119563.776</v>
      </c>
      <c r="H32" s="135">
        <f t="shared" si="0"/>
        <v>8999.4239999999991</v>
      </c>
      <c r="I32" s="136">
        <v>0.23300000000000001</v>
      </c>
      <c r="J32" s="137">
        <v>1</v>
      </c>
    </row>
    <row r="33" spans="2:10" s="3" customFormat="1" ht="18" customHeight="1">
      <c r="B33" s="134" t="s">
        <v>1785</v>
      </c>
      <c r="C33" s="134" t="s">
        <v>1786</v>
      </c>
      <c r="D33" s="134" t="s">
        <v>1791</v>
      </c>
      <c r="E33" s="134" t="s">
        <v>1781</v>
      </c>
      <c r="F33" s="135">
        <v>76032</v>
      </c>
      <c r="G33" s="135">
        <v>75271.679999999993</v>
      </c>
      <c r="H33" s="135">
        <f t="shared" si="0"/>
        <v>760.32000000000698</v>
      </c>
      <c r="I33" s="136">
        <v>0.65</v>
      </c>
      <c r="J33" s="137">
        <v>4</v>
      </c>
    </row>
    <row r="34" spans="2:10" s="3" customFormat="1" ht="18" customHeight="1">
      <c r="B34" s="134" t="s">
        <v>1785</v>
      </c>
      <c r="C34" s="134" t="s">
        <v>1788</v>
      </c>
      <c r="D34" s="134" t="s">
        <v>1792</v>
      </c>
      <c r="E34" s="134" t="s">
        <v>1782</v>
      </c>
      <c r="F34" s="135">
        <v>110772</v>
      </c>
      <c r="G34" s="135">
        <v>125172.36</v>
      </c>
      <c r="H34" s="135">
        <f t="shared" si="0"/>
        <v>-14400.36</v>
      </c>
      <c r="I34" s="136">
        <v>0.23300000000000001</v>
      </c>
      <c r="J34" s="137"/>
    </row>
    <row r="35" spans="2:10" s="3" customFormat="1" ht="18" customHeight="1">
      <c r="B35" s="134" t="s">
        <v>1785</v>
      </c>
      <c r="C35" s="134" t="s">
        <v>1788</v>
      </c>
      <c r="D35" s="134" t="s">
        <v>1792</v>
      </c>
      <c r="E35" s="134" t="s">
        <v>1782</v>
      </c>
      <c r="F35" s="135">
        <v>110772</v>
      </c>
      <c r="G35" s="135">
        <v>125172.36</v>
      </c>
      <c r="H35" s="135">
        <f t="shared" si="0"/>
        <v>-14400.36</v>
      </c>
      <c r="I35" s="136">
        <v>0.318</v>
      </c>
      <c r="J35" s="137">
        <v>1</v>
      </c>
    </row>
    <row r="36" spans="2:10" s="3" customFormat="1" ht="18" customHeight="1">
      <c r="B36" s="134" t="s">
        <v>1785</v>
      </c>
      <c r="C36" s="134" t="s">
        <v>1788</v>
      </c>
      <c r="D36" s="134" t="s">
        <v>1792</v>
      </c>
      <c r="E36" s="134" t="s">
        <v>1782</v>
      </c>
      <c r="F36" s="135">
        <v>91224</v>
      </c>
      <c r="G36" s="135">
        <v>66593.52</v>
      </c>
      <c r="H36" s="135">
        <f t="shared" si="0"/>
        <v>24630.479999999996</v>
      </c>
      <c r="I36" s="136">
        <v>0.65</v>
      </c>
      <c r="J36" s="137">
        <v>6</v>
      </c>
    </row>
    <row r="37" spans="2:10" s="3" customFormat="1" ht="18" customHeight="1">
      <c r="B37" s="134" t="s">
        <v>1785</v>
      </c>
      <c r="C37" s="134" t="s">
        <v>1788</v>
      </c>
      <c r="D37" s="134" t="s">
        <v>1792</v>
      </c>
      <c r="E37" s="134" t="s">
        <v>1782</v>
      </c>
      <c r="F37" s="135">
        <v>91224</v>
      </c>
      <c r="G37" s="135">
        <v>127713.60000000001</v>
      </c>
      <c r="H37" s="135">
        <f t="shared" si="0"/>
        <v>-36489.600000000006</v>
      </c>
      <c r="I37" s="136">
        <v>0.247</v>
      </c>
      <c r="J37" s="137">
        <v>4</v>
      </c>
    </row>
    <row r="38" spans="2:10" s="3" customFormat="1" ht="18" customHeight="1">
      <c r="B38" s="134" t="s">
        <v>1785</v>
      </c>
      <c r="C38" s="134" t="s">
        <v>1788</v>
      </c>
      <c r="D38" s="134" t="s">
        <v>1792</v>
      </c>
      <c r="E38" s="134" t="s">
        <v>1782</v>
      </c>
      <c r="F38" s="135">
        <v>71676</v>
      </c>
      <c r="G38" s="135">
        <v>70959.240000000005</v>
      </c>
      <c r="H38" s="135">
        <f t="shared" si="0"/>
        <v>716.75999999999476</v>
      </c>
      <c r="I38" s="136">
        <v>0.13400000000000001</v>
      </c>
      <c r="J38" s="137">
        <v>9</v>
      </c>
    </row>
    <row r="39" spans="2:10" s="3" customFormat="1" ht="18" customHeight="1">
      <c r="B39" s="134" t="s">
        <v>1785</v>
      </c>
      <c r="C39" s="134" t="s">
        <v>1788</v>
      </c>
      <c r="D39" s="134" t="s">
        <v>1792</v>
      </c>
      <c r="E39" s="134" t="s">
        <v>1781</v>
      </c>
      <c r="F39" s="135">
        <v>217504</v>
      </c>
      <c r="G39" s="135">
        <v>184878.4</v>
      </c>
      <c r="H39" s="135">
        <f t="shared" si="0"/>
        <v>32625.600000000006</v>
      </c>
      <c r="I39" s="136">
        <v>0.23300000000000001</v>
      </c>
      <c r="J39" s="137">
        <v>9</v>
      </c>
    </row>
    <row r="40" spans="2:10" s="3" customFormat="1" ht="18" customHeight="1">
      <c r="B40" s="134" t="s">
        <v>1785</v>
      </c>
      <c r="C40" s="134" t="s">
        <v>1788</v>
      </c>
      <c r="D40" s="134" t="s">
        <v>1792</v>
      </c>
      <c r="E40" s="134" t="s">
        <v>1781</v>
      </c>
      <c r="F40" s="135">
        <v>128563.2</v>
      </c>
      <c r="G40" s="135">
        <v>119563.776</v>
      </c>
      <c r="H40" s="135">
        <f t="shared" si="0"/>
        <v>8999.4239999999991</v>
      </c>
      <c r="I40" s="136">
        <v>0.154</v>
      </c>
      <c r="J40" s="137">
        <v>3</v>
      </c>
    </row>
    <row r="41" spans="2:10" s="3" customFormat="1" ht="18" customHeight="1">
      <c r="B41" s="134" t="s">
        <v>1793</v>
      </c>
      <c r="C41" s="134" t="s">
        <v>1779</v>
      </c>
      <c r="D41" s="134" t="s">
        <v>1780</v>
      </c>
      <c r="E41" s="134" t="s">
        <v>1794</v>
      </c>
      <c r="F41" s="135">
        <v>94936.320000000007</v>
      </c>
      <c r="G41" s="135">
        <v>77847.782399999996</v>
      </c>
      <c r="H41" s="135">
        <f t="shared" si="0"/>
        <v>17088.537600000011</v>
      </c>
      <c r="I41" s="136">
        <v>0.56399999999999995</v>
      </c>
      <c r="J41" s="137">
        <v>8</v>
      </c>
    </row>
    <row r="42" spans="2:10" s="3" customFormat="1" ht="18" customHeight="1">
      <c r="B42" s="134" t="s">
        <v>1793</v>
      </c>
      <c r="C42" s="134" t="s">
        <v>1779</v>
      </c>
      <c r="D42" s="134" t="s">
        <v>1780</v>
      </c>
      <c r="E42" s="134" t="s">
        <v>1795</v>
      </c>
      <c r="F42" s="135">
        <v>90305.279999999999</v>
      </c>
      <c r="G42" s="135">
        <v>70438.118399999992</v>
      </c>
      <c r="H42" s="135">
        <f t="shared" si="0"/>
        <v>19867.161600000007</v>
      </c>
      <c r="I42" s="138">
        <v>0.26500000000000001</v>
      </c>
      <c r="J42" s="137">
        <v>2</v>
      </c>
    </row>
    <row r="43" spans="2:10" s="3" customFormat="1" ht="18" customHeight="1">
      <c r="B43" s="134" t="s">
        <v>1793</v>
      </c>
      <c r="C43" s="134" t="s">
        <v>1779</v>
      </c>
      <c r="D43" s="134" t="s">
        <v>1780</v>
      </c>
      <c r="E43" s="134" t="s">
        <v>1794</v>
      </c>
      <c r="F43" s="135">
        <v>519480</v>
      </c>
      <c r="G43" s="135">
        <v>441558</v>
      </c>
      <c r="H43" s="135">
        <f t="shared" si="0"/>
        <v>77922</v>
      </c>
      <c r="I43" s="136">
        <v>0.39800000000000002</v>
      </c>
      <c r="J43" s="137">
        <v>6</v>
      </c>
    </row>
    <row r="44" spans="2:10" s="3" customFormat="1" ht="18" customHeight="1">
      <c r="B44" s="134" t="s">
        <v>1793</v>
      </c>
      <c r="C44" s="134" t="s">
        <v>1779</v>
      </c>
      <c r="D44" s="134" t="s">
        <v>1780</v>
      </c>
      <c r="E44" s="134" t="s">
        <v>1795</v>
      </c>
      <c r="F44" s="135">
        <v>91238.399999999994</v>
      </c>
      <c r="G44" s="135">
        <v>90326.015999999989</v>
      </c>
      <c r="H44" s="135">
        <f t="shared" si="0"/>
        <v>912.38400000000547</v>
      </c>
      <c r="I44" s="136">
        <v>0.315</v>
      </c>
      <c r="J44" s="137">
        <v>9</v>
      </c>
    </row>
    <row r="45" spans="2:10" s="3" customFormat="1" ht="18" customHeight="1">
      <c r="B45" s="134" t="s">
        <v>1793</v>
      </c>
      <c r="C45" s="134" t="s">
        <v>1779</v>
      </c>
      <c r="D45" s="134" t="s">
        <v>1783</v>
      </c>
      <c r="E45" s="134" t="s">
        <v>1795</v>
      </c>
      <c r="F45" s="135">
        <v>92620.800000000003</v>
      </c>
      <c r="G45" s="135">
        <v>104661.504</v>
      </c>
      <c r="H45" s="135">
        <f t="shared" si="0"/>
        <v>-12040.703999999998</v>
      </c>
      <c r="I45" s="136">
        <v>0.255</v>
      </c>
      <c r="J45" s="137">
        <v>9</v>
      </c>
    </row>
    <row r="46" spans="2:10" s="3" customFormat="1" ht="18" customHeight="1">
      <c r="B46" s="134" t="s">
        <v>1793</v>
      </c>
      <c r="C46" s="134" t="s">
        <v>1779</v>
      </c>
      <c r="D46" s="134" t="s">
        <v>1783</v>
      </c>
      <c r="E46" s="134" t="s">
        <v>1794</v>
      </c>
      <c r="F46" s="135">
        <v>69465.600000000006</v>
      </c>
      <c r="G46" s="135">
        <v>66686.975999999995</v>
      </c>
      <c r="H46" s="135">
        <f t="shared" si="0"/>
        <v>2778.6240000000107</v>
      </c>
      <c r="I46" s="136">
        <v>0.56399999999999995</v>
      </c>
      <c r="J46" s="137">
        <v>8</v>
      </c>
    </row>
    <row r="47" spans="2:10" s="3" customFormat="1" ht="18" customHeight="1">
      <c r="B47" s="134" t="s">
        <v>1793</v>
      </c>
      <c r="C47" s="134" t="s">
        <v>1779</v>
      </c>
      <c r="D47" s="134" t="s">
        <v>1783</v>
      </c>
      <c r="E47" s="134" t="s">
        <v>1795</v>
      </c>
      <c r="F47" s="135">
        <v>154275.84</v>
      </c>
      <c r="G47" s="135">
        <v>143476.5312</v>
      </c>
      <c r="H47" s="135">
        <f t="shared" si="0"/>
        <v>10799.308799999999</v>
      </c>
      <c r="I47" s="136">
        <v>0.318</v>
      </c>
      <c r="J47" s="137">
        <v>4</v>
      </c>
    </row>
    <row r="48" spans="2:10" s="3" customFormat="1" ht="18" customHeight="1">
      <c r="B48" s="134" t="s">
        <v>1793</v>
      </c>
      <c r="C48" s="134" t="s">
        <v>1779</v>
      </c>
      <c r="D48" s="134" t="s">
        <v>1783</v>
      </c>
      <c r="E48" s="134" t="s">
        <v>1794</v>
      </c>
      <c r="F48" s="135">
        <v>113923.584</v>
      </c>
      <c r="G48" s="135">
        <v>93417.338879999996</v>
      </c>
      <c r="H48" s="135">
        <f t="shared" si="0"/>
        <v>20506.245120000007</v>
      </c>
      <c r="I48" s="136">
        <v>0.187</v>
      </c>
      <c r="J48" s="137">
        <v>5</v>
      </c>
    </row>
    <row r="49" spans="2:10" s="3" customFormat="1" ht="18" customHeight="1">
      <c r="B49" s="134" t="s">
        <v>1793</v>
      </c>
      <c r="C49" s="134" t="s">
        <v>1779</v>
      </c>
      <c r="D49" s="134" t="s">
        <v>1784</v>
      </c>
      <c r="E49" s="134" t="s">
        <v>1795</v>
      </c>
      <c r="F49" s="135">
        <v>94936.320000000007</v>
      </c>
      <c r="G49" s="135">
        <v>77847.782399999996</v>
      </c>
      <c r="H49" s="135">
        <f t="shared" si="0"/>
        <v>17088.537600000011</v>
      </c>
      <c r="I49" s="136">
        <v>0.13400000000000001</v>
      </c>
      <c r="J49" s="137">
        <v>4</v>
      </c>
    </row>
    <row r="50" spans="2:10" s="3" customFormat="1" ht="18" customHeight="1">
      <c r="B50" s="134" t="s">
        <v>1793</v>
      </c>
      <c r="C50" s="134" t="s">
        <v>1779</v>
      </c>
      <c r="D50" s="134" t="s">
        <v>1784</v>
      </c>
      <c r="E50" s="134" t="s">
        <v>1794</v>
      </c>
      <c r="F50" s="135">
        <v>91463.039999999994</v>
      </c>
      <c r="G50" s="135">
        <v>72255.801599999992</v>
      </c>
      <c r="H50" s="135">
        <f t="shared" si="0"/>
        <v>19207.238400000002</v>
      </c>
      <c r="I50" s="136">
        <v>0.27600000000000002</v>
      </c>
      <c r="J50" s="137">
        <v>5</v>
      </c>
    </row>
    <row r="51" spans="2:10" s="3" customFormat="1" ht="18" customHeight="1">
      <c r="B51" s="134" t="s">
        <v>1793</v>
      </c>
      <c r="C51" s="134" t="s">
        <v>1779</v>
      </c>
      <c r="D51" s="134" t="s">
        <v>1784</v>
      </c>
      <c r="E51" s="134" t="s">
        <v>1795</v>
      </c>
      <c r="F51" s="135">
        <v>1447185.6</v>
      </c>
      <c r="G51" s="135">
        <v>1287995.1840000001</v>
      </c>
      <c r="H51" s="135">
        <f t="shared" si="0"/>
        <v>159190.41599999997</v>
      </c>
      <c r="I51" s="136">
        <v>0.23300000000000001</v>
      </c>
      <c r="J51" s="137">
        <v>9</v>
      </c>
    </row>
    <row r="52" spans="2:10" s="3" customFormat="1" ht="18" customHeight="1">
      <c r="B52" s="134" t="s">
        <v>1793</v>
      </c>
      <c r="C52" s="134" t="s">
        <v>1779</v>
      </c>
      <c r="D52" s="134" t="s">
        <v>1784</v>
      </c>
      <c r="E52" s="134" t="s">
        <v>1794</v>
      </c>
      <c r="F52" s="135">
        <v>154275.84</v>
      </c>
      <c r="G52" s="135">
        <v>143476.5312</v>
      </c>
      <c r="H52" s="135">
        <f t="shared" si="0"/>
        <v>10799.308799999999</v>
      </c>
      <c r="I52" s="136">
        <v>0.247</v>
      </c>
      <c r="J52" s="137">
        <v>8</v>
      </c>
    </row>
    <row r="53" spans="2:10" s="3" customFormat="1" ht="18" customHeight="1">
      <c r="B53" s="134" t="s">
        <v>1793</v>
      </c>
      <c r="C53" s="134" t="s">
        <v>1779</v>
      </c>
      <c r="D53" s="134" t="s">
        <v>1784</v>
      </c>
      <c r="E53" s="134" t="s">
        <v>1795</v>
      </c>
      <c r="F53" s="135">
        <v>113923.584</v>
      </c>
      <c r="G53" s="135">
        <v>93417.338879999996</v>
      </c>
      <c r="H53" s="135">
        <f t="shared" si="0"/>
        <v>20506.245120000007</v>
      </c>
      <c r="I53" s="136">
        <v>0.35599999999999998</v>
      </c>
      <c r="J53" s="137">
        <v>2</v>
      </c>
    </row>
    <row r="54" spans="2:10" s="3" customFormat="1" ht="18" customHeight="1">
      <c r="B54" s="134" t="s">
        <v>1796</v>
      </c>
      <c r="C54" s="134" t="s">
        <v>1786</v>
      </c>
      <c r="D54" s="134" t="s">
        <v>1787</v>
      </c>
      <c r="E54" s="134" t="s">
        <v>1781</v>
      </c>
      <c r="F54" s="135">
        <v>1205988</v>
      </c>
      <c r="G54" s="135">
        <v>1073329.32</v>
      </c>
      <c r="H54" s="135">
        <f t="shared" si="0"/>
        <v>132658.67999999993</v>
      </c>
      <c r="I54" s="136">
        <v>0.432</v>
      </c>
      <c r="J54" s="137">
        <v>10</v>
      </c>
    </row>
    <row r="55" spans="2:10" s="3" customFormat="1" ht="18" customHeight="1">
      <c r="B55" s="134" t="s">
        <v>1796</v>
      </c>
      <c r="C55" s="134" t="s">
        <v>1786</v>
      </c>
      <c r="D55" s="134" t="s">
        <v>1787</v>
      </c>
      <c r="E55" s="134" t="s">
        <v>1781</v>
      </c>
      <c r="F55" s="135">
        <f>128563.2+200000</f>
        <v>328563.20000000001</v>
      </c>
      <c r="G55" s="135">
        <v>305563.77600000001</v>
      </c>
      <c r="H55" s="135">
        <f t="shared" si="0"/>
        <v>22999.423999999999</v>
      </c>
      <c r="I55" s="138">
        <v>0.39800000000000002</v>
      </c>
      <c r="J55" s="137">
        <v>3</v>
      </c>
    </row>
    <row r="56" spans="2:10" s="3" customFormat="1" ht="18" customHeight="1">
      <c r="B56" s="134" t="s">
        <v>1797</v>
      </c>
      <c r="C56" s="134" t="s">
        <v>1786</v>
      </c>
      <c r="D56" s="134" t="s">
        <v>1787</v>
      </c>
      <c r="E56" s="134" t="s">
        <v>1782</v>
      </c>
      <c r="F56" s="135">
        <v>71676</v>
      </c>
      <c r="G56" s="135">
        <v>70959.240000000005</v>
      </c>
      <c r="H56" s="135">
        <f t="shared" si="0"/>
        <v>716.75999999999476</v>
      </c>
      <c r="I56" s="136">
        <v>0.53300000000000003</v>
      </c>
      <c r="J56" s="137">
        <v>1</v>
      </c>
    </row>
    <row r="57" spans="2:10" s="3" customFormat="1" ht="18" customHeight="1">
      <c r="B57" s="134" t="s">
        <v>1797</v>
      </c>
      <c r="C57" s="134" t="s">
        <v>1786</v>
      </c>
      <c r="D57" s="134" t="s">
        <v>1787</v>
      </c>
      <c r="E57" s="134" t="s">
        <v>1794</v>
      </c>
      <c r="F57" s="135">
        <v>51480</v>
      </c>
      <c r="G57" s="135">
        <v>58172.4</v>
      </c>
      <c r="H57" s="135">
        <f t="shared" si="0"/>
        <v>-6692.4000000000015</v>
      </c>
      <c r="I57" s="138">
        <v>0.26500000000000001</v>
      </c>
      <c r="J57" s="137">
        <v>9</v>
      </c>
    </row>
    <row r="58" spans="2:10" s="3" customFormat="1" ht="18" customHeight="1">
      <c r="B58" s="134" t="s">
        <v>1797</v>
      </c>
      <c r="C58" s="134" t="s">
        <v>1786</v>
      </c>
      <c r="D58" s="134" t="s">
        <v>1787</v>
      </c>
      <c r="E58" s="134" t="s">
        <v>1794</v>
      </c>
      <c r="F58" s="135">
        <v>39600</v>
      </c>
      <c r="G58" s="135">
        <v>38016</v>
      </c>
      <c r="H58" s="135">
        <f t="shared" si="0"/>
        <v>1584</v>
      </c>
      <c r="I58" s="136">
        <v>0.56399999999999995</v>
      </c>
      <c r="J58" s="137">
        <v>2</v>
      </c>
    </row>
    <row r="59" spans="2:10" s="3" customFormat="1" ht="18" customHeight="1">
      <c r="B59" s="134" t="s">
        <v>1797</v>
      </c>
      <c r="C59" s="134" t="s">
        <v>1786</v>
      </c>
      <c r="D59" s="134" t="s">
        <v>1787</v>
      </c>
      <c r="E59" s="134" t="s">
        <v>1795</v>
      </c>
      <c r="F59" s="135">
        <v>79113.600000000006</v>
      </c>
      <c r="G59" s="135">
        <v>64873.152000000002</v>
      </c>
      <c r="H59" s="135">
        <f t="shared" si="0"/>
        <v>14240.448000000004</v>
      </c>
      <c r="I59" s="136">
        <v>0.27600000000000002</v>
      </c>
      <c r="J59" s="137">
        <v>0</v>
      </c>
    </row>
    <row r="60" spans="2:10" s="3" customFormat="1" ht="18" customHeight="1">
      <c r="B60" s="134" t="s">
        <v>1797</v>
      </c>
      <c r="C60" s="134" t="s">
        <v>1786</v>
      </c>
      <c r="D60" s="134" t="s">
        <v>1787</v>
      </c>
      <c r="E60" s="134" t="s">
        <v>1795</v>
      </c>
      <c r="F60" s="135">
        <v>79113.600000000006</v>
      </c>
      <c r="G60" s="135">
        <v>64873.152000000002</v>
      </c>
      <c r="H60" s="135">
        <f t="shared" si="0"/>
        <v>14240.448000000004</v>
      </c>
      <c r="I60" s="136">
        <v>0.54400000000000004</v>
      </c>
      <c r="J60" s="137">
        <v>6</v>
      </c>
    </row>
    <row r="61" spans="2:10" s="3" customFormat="1" ht="18" customHeight="1">
      <c r="B61" s="134" t="s">
        <v>1797</v>
      </c>
      <c r="C61" s="134" t="s">
        <v>1786</v>
      </c>
      <c r="D61" s="134" t="s">
        <v>1787</v>
      </c>
      <c r="E61" s="134" t="s">
        <v>1795</v>
      </c>
      <c r="F61" s="135">
        <v>57888</v>
      </c>
      <c r="G61" s="135">
        <v>55572.480000000003</v>
      </c>
      <c r="H61" s="135">
        <f t="shared" si="0"/>
        <v>2315.5199999999968</v>
      </c>
      <c r="I61" s="136">
        <v>0.315</v>
      </c>
      <c r="J61" s="137">
        <v>5</v>
      </c>
    </row>
    <row r="62" spans="2:10" s="3" customFormat="1" ht="18" customHeight="1">
      <c r="B62" s="134" t="s">
        <v>1797</v>
      </c>
      <c r="C62" s="134" t="s">
        <v>1786</v>
      </c>
      <c r="D62" s="134" t="s">
        <v>1787</v>
      </c>
      <c r="E62" s="134" t="s">
        <v>1795</v>
      </c>
      <c r="F62" s="135">
        <v>57888</v>
      </c>
      <c r="G62" s="135">
        <v>55572.480000000003</v>
      </c>
      <c r="H62" s="135">
        <f t="shared" si="0"/>
        <v>2315.5199999999968</v>
      </c>
      <c r="I62" s="136">
        <v>0.187</v>
      </c>
      <c r="J62" s="137">
        <v>3</v>
      </c>
    </row>
    <row r="63" spans="2:10" s="3" customFormat="1" ht="18" customHeight="1">
      <c r="B63" s="134" t="s">
        <v>1797</v>
      </c>
      <c r="C63" s="134" t="s">
        <v>1788</v>
      </c>
      <c r="D63" s="134" t="s">
        <v>1789</v>
      </c>
      <c r="E63" s="134" t="s">
        <v>1794</v>
      </c>
      <c r="F63" s="135">
        <v>52800</v>
      </c>
      <c r="G63" s="135">
        <v>59664</v>
      </c>
      <c r="H63" s="135">
        <f t="shared" si="0"/>
        <v>-6864</v>
      </c>
      <c r="I63" s="136">
        <v>0.255</v>
      </c>
      <c r="J63" s="137">
        <v>8</v>
      </c>
    </row>
    <row r="64" spans="2:10" s="3" customFormat="1" ht="18" customHeight="1">
      <c r="B64" s="134" t="s">
        <v>1797</v>
      </c>
      <c r="C64" s="134" t="s">
        <v>1788</v>
      </c>
      <c r="D64" s="134" t="s">
        <v>1789</v>
      </c>
      <c r="E64" s="134" t="s">
        <v>1794</v>
      </c>
      <c r="F64" s="135">
        <v>52140</v>
      </c>
      <c r="G64" s="135">
        <v>41190.6</v>
      </c>
      <c r="H64" s="135">
        <f t="shared" si="0"/>
        <v>10949.400000000001</v>
      </c>
      <c r="I64" s="136">
        <v>0.35599999999999998</v>
      </c>
      <c r="J64" s="137">
        <v>5</v>
      </c>
    </row>
    <row r="65" spans="2:10" s="3" customFormat="1" ht="18" customHeight="1">
      <c r="B65" s="134" t="s">
        <v>1797</v>
      </c>
      <c r="C65" s="134" t="s">
        <v>1788</v>
      </c>
      <c r="D65" s="134" t="s">
        <v>1789</v>
      </c>
      <c r="E65" s="134" t="s">
        <v>1794</v>
      </c>
      <c r="F65" s="135">
        <v>52140</v>
      </c>
      <c r="G65" s="135">
        <v>41190.6</v>
      </c>
      <c r="H65" s="135">
        <f t="shared" si="0"/>
        <v>10949.400000000001</v>
      </c>
      <c r="I65" s="136">
        <v>0.27600000000000002</v>
      </c>
      <c r="J65" s="137">
        <v>6</v>
      </c>
    </row>
    <row r="66" spans="2:10" s="3" customFormat="1" ht="18" customHeight="1">
      <c r="B66" s="134" t="s">
        <v>1797</v>
      </c>
      <c r="C66" s="134" t="s">
        <v>1788</v>
      </c>
      <c r="D66" s="134" t="s">
        <v>1789</v>
      </c>
      <c r="E66" s="134" t="s">
        <v>1795</v>
      </c>
      <c r="F66" s="135">
        <v>77184</v>
      </c>
      <c r="G66" s="135">
        <v>68693.759999999995</v>
      </c>
      <c r="H66" s="135">
        <f t="shared" si="0"/>
        <v>8490.2400000000052</v>
      </c>
      <c r="I66" s="136">
        <v>0.255</v>
      </c>
      <c r="J66" s="137">
        <v>5</v>
      </c>
    </row>
    <row r="67" spans="2:10" s="3" customFormat="1" ht="18" customHeight="1">
      <c r="B67" s="134" t="s">
        <v>1797</v>
      </c>
      <c r="C67" s="134" t="s">
        <v>1788</v>
      </c>
      <c r="D67" s="134" t="s">
        <v>1789</v>
      </c>
      <c r="E67" s="134" t="s">
        <v>1795</v>
      </c>
      <c r="F67" s="135">
        <v>77184</v>
      </c>
      <c r="G67" s="135">
        <v>87217.919999999998</v>
      </c>
      <c r="H67" s="135">
        <f t="shared" si="0"/>
        <v>-10033.919999999998</v>
      </c>
      <c r="I67" s="136">
        <v>0.56399999999999995</v>
      </c>
      <c r="J67" s="137">
        <v>5</v>
      </c>
    </row>
    <row r="68" spans="2:10" s="3" customFormat="1" ht="18" customHeight="1">
      <c r="B68" s="134" t="s">
        <v>1797</v>
      </c>
      <c r="C68" s="134" t="s">
        <v>1788</v>
      </c>
      <c r="D68" s="134" t="s">
        <v>1789</v>
      </c>
      <c r="E68" s="134" t="s">
        <v>1795</v>
      </c>
      <c r="F68" s="135">
        <v>76219.199999999997</v>
      </c>
      <c r="G68" s="135">
        <v>60213.167999999998</v>
      </c>
      <c r="H68" s="135">
        <f t="shared" si="0"/>
        <v>16006.031999999999</v>
      </c>
      <c r="I68" s="136">
        <v>0.54400000000000004</v>
      </c>
      <c r="J68" s="137">
        <v>1</v>
      </c>
    </row>
    <row r="69" spans="2:10" s="3" customFormat="1" ht="18" customHeight="1">
      <c r="B69" s="134" t="s">
        <v>1797</v>
      </c>
      <c r="C69" s="134" t="s">
        <v>1788</v>
      </c>
      <c r="D69" s="134" t="s">
        <v>1789</v>
      </c>
      <c r="E69" s="134" t="s">
        <v>1795</v>
      </c>
      <c r="F69" s="135">
        <v>75254.399999999994</v>
      </c>
      <c r="G69" s="135">
        <v>58698.432000000001</v>
      </c>
      <c r="H69" s="135">
        <f t="shared" si="0"/>
        <v>16555.967999999993</v>
      </c>
      <c r="I69" s="136">
        <v>0.255</v>
      </c>
      <c r="J69" s="137">
        <v>9</v>
      </c>
    </row>
    <row r="70" spans="2:10" s="3" customFormat="1" ht="18" customHeight="1">
      <c r="B70" s="134" t="s">
        <v>1797</v>
      </c>
      <c r="C70" s="134" t="s">
        <v>1786</v>
      </c>
      <c r="D70" s="134" t="s">
        <v>1790</v>
      </c>
      <c r="E70" s="134" t="s">
        <v>1794</v>
      </c>
      <c r="F70" s="135">
        <v>52800</v>
      </c>
      <c r="G70" s="135">
        <v>46992</v>
      </c>
      <c r="H70" s="135">
        <f t="shared" si="0"/>
        <v>5808</v>
      </c>
      <c r="I70" s="136">
        <v>0.187</v>
      </c>
      <c r="J70" s="137">
        <v>9</v>
      </c>
    </row>
    <row r="71" spans="2:10" s="3" customFormat="1" ht="18" customHeight="1">
      <c r="B71" s="134" t="s">
        <v>1797</v>
      </c>
      <c r="C71" s="134" t="s">
        <v>1786</v>
      </c>
      <c r="D71" s="134" t="s">
        <v>1790</v>
      </c>
      <c r="E71" s="134" t="s">
        <v>1795</v>
      </c>
      <c r="F71" s="135">
        <v>76219.199999999997</v>
      </c>
      <c r="G71" s="135">
        <v>60213.167999999998</v>
      </c>
      <c r="H71" s="135">
        <f t="shared" si="0"/>
        <v>16006.031999999999</v>
      </c>
      <c r="I71" s="136">
        <v>0.26500000000000001</v>
      </c>
      <c r="J71" s="137">
        <v>7</v>
      </c>
    </row>
    <row r="72" spans="2:10" s="3" customFormat="1" ht="18" customHeight="1">
      <c r="B72" s="134" t="s">
        <v>1797</v>
      </c>
      <c r="C72" s="134" t="s">
        <v>1786</v>
      </c>
      <c r="D72" s="134" t="s">
        <v>1790</v>
      </c>
      <c r="E72" s="134" t="s">
        <v>1795</v>
      </c>
      <c r="F72" s="135">
        <v>75254.399999999994</v>
      </c>
      <c r="G72" s="135">
        <v>58698.432000000001</v>
      </c>
      <c r="H72" s="135">
        <f t="shared" si="0"/>
        <v>16555.967999999993</v>
      </c>
      <c r="I72" s="136">
        <v>0.35599999999999998</v>
      </c>
      <c r="J72" s="137">
        <v>5</v>
      </c>
    </row>
    <row r="73" spans="2:10" s="3" customFormat="1" ht="18" customHeight="1">
      <c r="B73" s="134" t="s">
        <v>1797</v>
      </c>
      <c r="C73" s="134" t="s">
        <v>1786</v>
      </c>
      <c r="D73" s="134" t="s">
        <v>1790</v>
      </c>
      <c r="E73" s="134" t="s">
        <v>1781</v>
      </c>
      <c r="F73" s="135">
        <v>296700</v>
      </c>
      <c r="G73" s="135">
        <v>216591</v>
      </c>
      <c r="H73" s="135">
        <f t="shared" si="0"/>
        <v>80109</v>
      </c>
      <c r="I73" s="136">
        <v>0.23300000000000001</v>
      </c>
      <c r="J73" s="137">
        <v>1</v>
      </c>
    </row>
    <row r="74" spans="2:10" s="3" customFormat="1" ht="18" customHeight="1">
      <c r="B74" s="134" t="s">
        <v>1797</v>
      </c>
      <c r="C74" s="134" t="s">
        <v>1788</v>
      </c>
      <c r="D74" s="134" t="s">
        <v>1792</v>
      </c>
      <c r="E74" s="134" t="s">
        <v>1794</v>
      </c>
      <c r="F74" s="135">
        <v>54120</v>
      </c>
      <c r="G74" s="135">
        <v>44378.400000000001</v>
      </c>
      <c r="H74" s="135">
        <f t="shared" si="0"/>
        <v>9741.5999999999985</v>
      </c>
      <c r="I74" s="136">
        <v>0.315</v>
      </c>
      <c r="J74" s="137">
        <v>8</v>
      </c>
    </row>
    <row r="75" spans="2:10" s="3" customFormat="1" ht="18" customHeight="1">
      <c r="B75" s="134" t="s">
        <v>1797</v>
      </c>
      <c r="C75" s="134" t="s">
        <v>1788</v>
      </c>
      <c r="D75" s="134" t="s">
        <v>1792</v>
      </c>
      <c r="E75" s="134" t="s">
        <v>1794</v>
      </c>
      <c r="F75" s="135">
        <v>54120</v>
      </c>
      <c r="G75" s="135">
        <v>44378.400000000001</v>
      </c>
      <c r="H75" s="135">
        <f>F75-G75</f>
        <v>9741.5999999999985</v>
      </c>
      <c r="I75" s="136">
        <v>0.56399999999999995</v>
      </c>
      <c r="J75" s="137">
        <v>3</v>
      </c>
    </row>
    <row r="76" spans="2:10" s="3" customFormat="1" ht="18" customHeight="1">
      <c r="B76" s="134" t="s">
        <v>1797</v>
      </c>
      <c r="C76" s="134" t="s">
        <v>1788</v>
      </c>
      <c r="D76" s="134" t="s">
        <v>1792</v>
      </c>
      <c r="E76" s="134" t="s">
        <v>1794</v>
      </c>
      <c r="F76" s="135">
        <v>51480</v>
      </c>
      <c r="G76" s="135">
        <v>40154.400000000001</v>
      </c>
      <c r="H76" s="135">
        <f>F76-G76</f>
        <v>11325.599999999999</v>
      </c>
      <c r="I76" s="136">
        <v>0.255</v>
      </c>
      <c r="J76" s="137">
        <v>2</v>
      </c>
    </row>
    <row r="77" spans="2:10" s="3" customFormat="1" ht="18" customHeight="1">
      <c r="B77" s="134" t="s">
        <v>1797</v>
      </c>
      <c r="C77" s="134" t="s">
        <v>1788</v>
      </c>
      <c r="D77" s="134" t="s">
        <v>1792</v>
      </c>
      <c r="E77" s="134" t="s">
        <v>1794</v>
      </c>
      <c r="F77" s="135">
        <v>39600</v>
      </c>
      <c r="G77" s="135">
        <v>38016</v>
      </c>
      <c r="H77" s="135">
        <f>F77-G77</f>
        <v>1584</v>
      </c>
      <c r="I77" s="136">
        <v>0.54400000000000004</v>
      </c>
      <c r="J77" s="137">
        <v>8</v>
      </c>
    </row>
    <row r="78" spans="2:10" s="3" customFormat="1" ht="18" customHeight="1">
      <c r="B78" s="134" t="s">
        <v>1797</v>
      </c>
      <c r="C78" s="134" t="s">
        <v>1788</v>
      </c>
      <c r="D78" s="134" t="s">
        <v>1792</v>
      </c>
      <c r="E78" s="134" t="s">
        <v>1795</v>
      </c>
      <c r="F78" s="135">
        <v>79113.600000000006</v>
      </c>
      <c r="G78" s="135">
        <v>64873.152000000002</v>
      </c>
      <c r="H78" s="135">
        <f>F78-G78</f>
        <v>14240.448000000004</v>
      </c>
      <c r="I78" s="136">
        <v>0.255</v>
      </c>
      <c r="J78" s="137">
        <v>9</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dimension ref="A1:J30"/>
  <sheetViews>
    <sheetView showGridLines="0" zoomScale="90" zoomScaleNormal="90" workbookViewId="0">
      <selection activeCell="F4" sqref="F4"/>
    </sheetView>
  </sheetViews>
  <sheetFormatPr defaultRowHeight="15.75"/>
  <cols>
    <col min="1" max="1" width="9.140625" style="142"/>
    <col min="2" max="2" width="22.7109375" style="142" bestFit="1" customWidth="1"/>
    <col min="3" max="9" width="13.7109375" style="142" customWidth="1"/>
    <col min="10" max="10" width="21.7109375" style="142" customWidth="1"/>
    <col min="11" max="16384" width="9.140625" style="142"/>
  </cols>
  <sheetData>
    <row r="1" spans="1:10" ht="30">
      <c r="A1" s="113" t="s">
        <v>1856</v>
      </c>
      <c r="B1" s="114"/>
      <c r="C1" s="3"/>
      <c r="D1" s="3"/>
      <c r="E1" s="637" t="s">
        <v>2056</v>
      </c>
      <c r="F1" s="3"/>
      <c r="G1" s="3"/>
    </row>
    <row r="3" spans="1:10" ht="21">
      <c r="A3" s="3"/>
      <c r="B3" s="3"/>
      <c r="C3" s="3"/>
      <c r="D3" s="3"/>
      <c r="E3" s="264" t="s">
        <v>1021</v>
      </c>
      <c r="F3" s="3"/>
      <c r="G3" s="3"/>
      <c r="H3" s="3"/>
      <c r="I3" s="3"/>
    </row>
    <row r="4" spans="1:10">
      <c r="A4" s="3"/>
      <c r="B4" s="3"/>
      <c r="C4" s="3"/>
      <c r="D4" s="3"/>
      <c r="E4" s="3"/>
      <c r="F4" s="3"/>
      <c r="G4" s="3"/>
      <c r="H4" s="3"/>
      <c r="I4" s="3"/>
    </row>
    <row r="5" spans="1:10" ht="18.75">
      <c r="A5" s="3"/>
      <c r="B5" s="3"/>
      <c r="C5" s="3"/>
      <c r="D5" s="3"/>
      <c r="E5" s="265" t="s">
        <v>1022</v>
      </c>
      <c r="F5" s="3"/>
      <c r="G5" s="3"/>
      <c r="H5" s="3"/>
      <c r="I5" s="3"/>
    </row>
    <row r="6" spans="1:10" ht="31.5">
      <c r="A6" s="3"/>
      <c r="B6" s="266" t="s">
        <v>179</v>
      </c>
      <c r="C6" s="266" t="s">
        <v>1023</v>
      </c>
      <c r="D6" s="266" t="s">
        <v>1024</v>
      </c>
      <c r="E6" s="266" t="s">
        <v>1025</v>
      </c>
      <c r="F6" s="266" t="s">
        <v>1026</v>
      </c>
      <c r="G6" s="266" t="s">
        <v>1027</v>
      </c>
      <c r="H6" s="266" t="s">
        <v>1028</v>
      </c>
      <c r="I6" s="266" t="s">
        <v>1029</v>
      </c>
    </row>
    <row r="7" spans="1:10">
      <c r="A7" s="3"/>
      <c r="B7" s="267" t="s">
        <v>746</v>
      </c>
      <c r="C7" s="142">
        <v>4</v>
      </c>
      <c r="D7" s="142">
        <v>1</v>
      </c>
      <c r="E7" s="142">
        <v>4</v>
      </c>
      <c r="F7" s="3"/>
      <c r="G7" s="142">
        <v>1</v>
      </c>
      <c r="H7" s="142">
        <v>3</v>
      </c>
      <c r="I7" s="142">
        <v>13</v>
      </c>
      <c r="J7" s="175" t="str">
        <f>IF(AND(C7&gt;2,G7&gt;2),"Target Customer","")</f>
        <v/>
      </c>
    </row>
    <row r="8" spans="1:10">
      <c r="A8" s="3"/>
      <c r="B8" s="267" t="s">
        <v>751</v>
      </c>
      <c r="C8" s="3"/>
      <c r="D8" s="142">
        <v>2</v>
      </c>
      <c r="E8" s="142">
        <v>1</v>
      </c>
      <c r="F8" s="142">
        <v>2</v>
      </c>
      <c r="G8" s="142">
        <v>3</v>
      </c>
      <c r="H8" s="3"/>
      <c r="I8" s="142">
        <v>8</v>
      </c>
      <c r="J8" s="175" t="str">
        <f t="shared" ref="J8:J28" si="0">IF(AND(C8&gt;2,G8&gt;2),"Target Customer","")</f>
        <v/>
      </c>
    </row>
    <row r="9" spans="1:10">
      <c r="A9" s="3"/>
      <c r="B9" s="267" t="s">
        <v>752</v>
      </c>
      <c r="C9" s="142">
        <v>1</v>
      </c>
      <c r="D9" s="3"/>
      <c r="E9" s="142">
        <v>1</v>
      </c>
      <c r="F9" s="142">
        <v>2</v>
      </c>
      <c r="G9" s="3"/>
      <c r="H9" s="3"/>
      <c r="I9" s="142">
        <v>4</v>
      </c>
      <c r="J9" s="175" t="str">
        <f t="shared" si="0"/>
        <v/>
      </c>
    </row>
    <row r="10" spans="1:10">
      <c r="A10" s="3"/>
      <c r="B10" s="267" t="s">
        <v>756</v>
      </c>
      <c r="C10" s="3"/>
      <c r="D10" s="3"/>
      <c r="E10" s="142">
        <v>3</v>
      </c>
      <c r="F10" s="3"/>
      <c r="G10" s="142">
        <v>3</v>
      </c>
      <c r="H10" s="142">
        <v>4</v>
      </c>
      <c r="I10" s="142">
        <v>10</v>
      </c>
      <c r="J10" s="175" t="str">
        <f t="shared" si="0"/>
        <v/>
      </c>
    </row>
    <row r="11" spans="1:10">
      <c r="A11" s="3"/>
      <c r="B11" s="268" t="s">
        <v>757</v>
      </c>
      <c r="C11" s="142">
        <v>3</v>
      </c>
      <c r="D11" s="142">
        <v>3</v>
      </c>
      <c r="E11" s="3"/>
      <c r="F11" s="3"/>
      <c r="G11" s="269">
        <v>3</v>
      </c>
      <c r="H11" s="3"/>
      <c r="I11" s="142">
        <v>6</v>
      </c>
      <c r="J11" s="175" t="str">
        <f t="shared" si="0"/>
        <v>Target Customer</v>
      </c>
    </row>
    <row r="12" spans="1:10">
      <c r="A12" s="3"/>
      <c r="B12" s="267" t="s">
        <v>760</v>
      </c>
      <c r="C12" s="142">
        <v>1</v>
      </c>
      <c r="D12" s="3"/>
      <c r="E12" s="142">
        <v>3</v>
      </c>
      <c r="F12" s="142">
        <v>2</v>
      </c>
      <c r="G12" s="142">
        <v>1</v>
      </c>
      <c r="H12" s="142">
        <v>1</v>
      </c>
      <c r="I12" s="142">
        <v>8</v>
      </c>
      <c r="J12" s="175" t="str">
        <f t="shared" si="0"/>
        <v/>
      </c>
    </row>
    <row r="13" spans="1:10">
      <c r="A13" s="3"/>
      <c r="B13" s="267" t="s">
        <v>763</v>
      </c>
      <c r="C13" s="3"/>
      <c r="D13" s="3"/>
      <c r="E13" s="3"/>
      <c r="F13" s="3"/>
      <c r="G13" s="3"/>
      <c r="H13" s="3"/>
      <c r="I13" s="142">
        <v>0</v>
      </c>
      <c r="J13" s="175" t="str">
        <f t="shared" si="0"/>
        <v/>
      </c>
    </row>
    <row r="14" spans="1:10">
      <c r="A14" s="3"/>
      <c r="B14" s="267" t="s">
        <v>768</v>
      </c>
      <c r="C14" s="142">
        <v>3</v>
      </c>
      <c r="D14" s="142">
        <v>3</v>
      </c>
      <c r="E14" s="3"/>
      <c r="F14" s="142">
        <v>3</v>
      </c>
      <c r="G14" s="3"/>
      <c r="H14" s="142">
        <v>4</v>
      </c>
      <c r="I14" s="142">
        <v>13</v>
      </c>
      <c r="J14" s="175" t="str">
        <f t="shared" si="0"/>
        <v/>
      </c>
    </row>
    <row r="15" spans="1:10">
      <c r="A15" s="3"/>
      <c r="B15" s="267" t="s">
        <v>772</v>
      </c>
      <c r="C15" s="142">
        <v>3</v>
      </c>
      <c r="D15" s="142">
        <v>1</v>
      </c>
      <c r="E15" s="3"/>
      <c r="F15" s="3"/>
      <c r="G15" s="142">
        <v>6</v>
      </c>
      <c r="H15" s="3"/>
      <c r="I15" s="142">
        <v>7</v>
      </c>
      <c r="J15" s="175" t="str">
        <f t="shared" si="0"/>
        <v>Target Customer</v>
      </c>
    </row>
    <row r="16" spans="1:10">
      <c r="B16" s="267" t="s">
        <v>773</v>
      </c>
      <c r="C16" s="3"/>
      <c r="D16" s="142">
        <v>2</v>
      </c>
      <c r="E16" s="142">
        <v>1</v>
      </c>
      <c r="F16" s="3"/>
      <c r="G16" s="142">
        <v>2</v>
      </c>
      <c r="H16" s="142">
        <v>3</v>
      </c>
      <c r="I16" s="142">
        <v>8</v>
      </c>
      <c r="J16" s="175" t="str">
        <f t="shared" si="0"/>
        <v/>
      </c>
    </row>
    <row r="17" spans="2:10">
      <c r="B17" s="267" t="s">
        <v>774</v>
      </c>
      <c r="C17" s="142">
        <v>4</v>
      </c>
      <c r="D17" s="142">
        <v>3</v>
      </c>
      <c r="E17" s="3"/>
      <c r="F17" s="142">
        <v>4</v>
      </c>
      <c r="G17" s="3"/>
      <c r="H17" s="3"/>
      <c r="I17" s="142">
        <v>11</v>
      </c>
      <c r="J17" s="175" t="str">
        <f t="shared" si="0"/>
        <v/>
      </c>
    </row>
    <row r="18" spans="2:10">
      <c r="B18" s="267" t="s">
        <v>778</v>
      </c>
      <c r="C18" s="3"/>
      <c r="D18" s="3"/>
      <c r="E18" s="142">
        <v>1</v>
      </c>
      <c r="F18" s="3"/>
      <c r="G18" s="3"/>
      <c r="H18" s="142">
        <v>2</v>
      </c>
      <c r="I18" s="142">
        <v>3</v>
      </c>
      <c r="J18" s="175" t="str">
        <f t="shared" si="0"/>
        <v/>
      </c>
    </row>
    <row r="19" spans="2:10">
      <c r="B19" s="267" t="s">
        <v>783</v>
      </c>
      <c r="C19" s="142">
        <v>4</v>
      </c>
      <c r="D19" s="142">
        <v>3</v>
      </c>
      <c r="E19" s="3"/>
      <c r="F19" s="3"/>
      <c r="G19" s="142">
        <v>5</v>
      </c>
      <c r="H19" s="3"/>
      <c r="I19" s="142">
        <v>8</v>
      </c>
      <c r="J19" s="175" t="str">
        <f t="shared" si="0"/>
        <v>Target Customer</v>
      </c>
    </row>
    <row r="20" spans="2:10">
      <c r="B20" s="267" t="s">
        <v>784</v>
      </c>
      <c r="C20" s="142">
        <v>3</v>
      </c>
      <c r="D20" s="142">
        <v>4</v>
      </c>
      <c r="E20" s="142">
        <v>2</v>
      </c>
      <c r="F20" s="3"/>
      <c r="G20" s="142">
        <v>1</v>
      </c>
      <c r="H20" s="3"/>
      <c r="I20" s="142">
        <v>10</v>
      </c>
      <c r="J20" s="175" t="str">
        <f t="shared" si="0"/>
        <v/>
      </c>
    </row>
    <row r="21" spans="2:10">
      <c r="B21" s="267" t="s">
        <v>785</v>
      </c>
      <c r="C21" s="142">
        <v>3</v>
      </c>
      <c r="D21" s="142">
        <v>3</v>
      </c>
      <c r="E21" s="3"/>
      <c r="F21" s="3"/>
      <c r="G21" s="142">
        <v>3</v>
      </c>
      <c r="H21" s="142">
        <v>3</v>
      </c>
      <c r="I21" s="142">
        <v>6</v>
      </c>
      <c r="J21" s="175" t="str">
        <f t="shared" si="0"/>
        <v>Target Customer</v>
      </c>
    </row>
    <row r="22" spans="2:10">
      <c r="B22" s="267" t="s">
        <v>790</v>
      </c>
      <c r="C22" s="3"/>
      <c r="D22" s="142">
        <v>1</v>
      </c>
      <c r="E22" s="3"/>
      <c r="F22" s="3"/>
      <c r="G22" s="142">
        <v>4</v>
      </c>
      <c r="H22" s="3"/>
      <c r="I22" s="142">
        <v>5</v>
      </c>
      <c r="J22" s="175" t="str">
        <f t="shared" si="0"/>
        <v/>
      </c>
    </row>
    <row r="23" spans="2:10">
      <c r="B23" s="267" t="s">
        <v>791</v>
      </c>
      <c r="C23" s="142">
        <v>3</v>
      </c>
      <c r="D23" s="3"/>
      <c r="E23" s="142">
        <v>2</v>
      </c>
      <c r="F23" s="3"/>
      <c r="G23" s="3"/>
      <c r="H23" s="3"/>
      <c r="I23" s="142">
        <v>5</v>
      </c>
      <c r="J23" s="175" t="str">
        <f t="shared" si="0"/>
        <v/>
      </c>
    </row>
    <row r="24" spans="2:10">
      <c r="B24" s="267" t="s">
        <v>795</v>
      </c>
      <c r="C24" s="3"/>
      <c r="D24" s="142">
        <v>4</v>
      </c>
      <c r="E24" s="3"/>
      <c r="F24" s="3"/>
      <c r="G24" s="142">
        <v>4</v>
      </c>
      <c r="H24" s="142">
        <v>4</v>
      </c>
      <c r="I24" s="142">
        <v>12</v>
      </c>
      <c r="J24" s="175" t="str">
        <f t="shared" si="0"/>
        <v/>
      </c>
    </row>
    <row r="25" spans="2:10">
      <c r="B25" s="267" t="s">
        <v>796</v>
      </c>
      <c r="C25" s="142">
        <v>2</v>
      </c>
      <c r="D25" s="3"/>
      <c r="E25" s="142">
        <v>2</v>
      </c>
      <c r="F25" s="142">
        <v>2</v>
      </c>
      <c r="G25" s="3"/>
      <c r="H25" s="3"/>
      <c r="I25" s="142">
        <v>6</v>
      </c>
      <c r="J25" s="175" t="str">
        <f t="shared" si="0"/>
        <v/>
      </c>
    </row>
    <row r="26" spans="2:10">
      <c r="B26" s="267" t="s">
        <v>797</v>
      </c>
      <c r="C26" s="3"/>
      <c r="D26" s="142">
        <v>1</v>
      </c>
      <c r="E26" s="3"/>
      <c r="F26" s="3"/>
      <c r="G26" s="142">
        <v>7</v>
      </c>
      <c r="H26" s="142">
        <v>5</v>
      </c>
      <c r="I26" s="142">
        <v>13</v>
      </c>
      <c r="J26" s="175" t="str">
        <f t="shared" si="0"/>
        <v/>
      </c>
    </row>
    <row r="27" spans="2:10">
      <c r="B27" s="267" t="s">
        <v>798</v>
      </c>
      <c r="C27" s="142">
        <v>2</v>
      </c>
      <c r="D27" s="3"/>
      <c r="E27" s="142">
        <v>2</v>
      </c>
      <c r="F27" s="142">
        <v>4</v>
      </c>
      <c r="G27" s="3"/>
      <c r="H27" s="3"/>
      <c r="I27" s="142">
        <v>8</v>
      </c>
      <c r="J27" s="175" t="str">
        <f t="shared" si="0"/>
        <v/>
      </c>
    </row>
    <row r="28" spans="2:10">
      <c r="B28" s="267" t="s">
        <v>802</v>
      </c>
      <c r="C28" s="142">
        <v>1</v>
      </c>
      <c r="D28" s="142">
        <v>4</v>
      </c>
      <c r="E28" s="3"/>
      <c r="F28" s="142">
        <v>2</v>
      </c>
      <c r="G28" s="142">
        <v>1</v>
      </c>
      <c r="H28" s="142">
        <v>2</v>
      </c>
      <c r="I28" s="142">
        <v>10</v>
      </c>
      <c r="J28" s="175" t="str">
        <f t="shared" si="0"/>
        <v/>
      </c>
    </row>
    <row r="29" spans="2:10" ht="16.5" thickBot="1">
      <c r="B29" s="142" t="s">
        <v>1030</v>
      </c>
      <c r="C29" s="270">
        <v>27</v>
      </c>
      <c r="D29" s="270">
        <v>35</v>
      </c>
      <c r="E29" s="270">
        <v>22</v>
      </c>
      <c r="F29" s="270">
        <v>21</v>
      </c>
      <c r="G29" s="270">
        <v>38</v>
      </c>
      <c r="H29" s="270">
        <v>31</v>
      </c>
      <c r="I29" s="270">
        <v>174</v>
      </c>
    </row>
    <row r="30" spans="2:10" ht="16.5" thickTop="1">
      <c r="B30" s="3"/>
      <c r="C30" s="3"/>
      <c r="D30" s="3"/>
      <c r="E30" s="3"/>
      <c r="F30" s="3"/>
      <c r="G30" s="3"/>
      <c r="H30" s="3"/>
      <c r="I30" s="3"/>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dimension ref="A1:J30"/>
  <sheetViews>
    <sheetView showGridLines="0" zoomScale="90" zoomScaleNormal="90" workbookViewId="0">
      <selection activeCell="F4" sqref="F4"/>
    </sheetView>
  </sheetViews>
  <sheetFormatPr defaultRowHeight="15.75"/>
  <cols>
    <col min="1" max="1" width="9.140625" style="142"/>
    <col min="2" max="2" width="22.7109375" style="142" bestFit="1" customWidth="1"/>
    <col min="3" max="9" width="13.7109375" style="142" customWidth="1"/>
    <col min="10" max="10" width="21.7109375" style="142" customWidth="1"/>
    <col min="11" max="16384" width="9.140625" style="142"/>
  </cols>
  <sheetData>
    <row r="1" spans="1:10" ht="30">
      <c r="A1" s="113" t="s">
        <v>1857</v>
      </c>
      <c r="B1" s="114"/>
      <c r="C1" s="3"/>
      <c r="D1" s="3"/>
      <c r="E1" s="637" t="s">
        <v>2056</v>
      </c>
      <c r="F1" s="3"/>
      <c r="G1" s="3"/>
    </row>
    <row r="3" spans="1:10" ht="21">
      <c r="A3" s="3"/>
      <c r="B3" s="3"/>
      <c r="C3" s="3"/>
      <c r="D3" s="3"/>
      <c r="E3" s="264" t="s">
        <v>1021</v>
      </c>
      <c r="F3" s="3"/>
      <c r="G3" s="3"/>
      <c r="H3" s="3"/>
      <c r="I3" s="3"/>
    </row>
    <row r="4" spans="1:10">
      <c r="A4" s="3"/>
      <c r="B4" s="3"/>
      <c r="C4" s="3"/>
      <c r="D4" s="3"/>
      <c r="E4" s="3"/>
      <c r="F4" s="3"/>
      <c r="G4" s="3"/>
      <c r="H4" s="3"/>
      <c r="I4" s="3"/>
    </row>
    <row r="5" spans="1:10" ht="18.75">
      <c r="A5" s="3"/>
      <c r="B5" s="3"/>
      <c r="C5" s="3"/>
      <c r="D5" s="3"/>
      <c r="E5" s="265" t="s">
        <v>1022</v>
      </c>
      <c r="F5" s="3"/>
      <c r="G5" s="3"/>
      <c r="H5" s="3"/>
      <c r="I5" s="3"/>
    </row>
    <row r="6" spans="1:10" ht="31.5">
      <c r="A6" s="3"/>
      <c r="B6" s="266" t="s">
        <v>179</v>
      </c>
      <c r="C6" s="266" t="s">
        <v>1023</v>
      </c>
      <c r="D6" s="266" t="s">
        <v>1024</v>
      </c>
      <c r="E6" s="266" t="s">
        <v>1025</v>
      </c>
      <c r="F6" s="266" t="s">
        <v>1026</v>
      </c>
      <c r="G6" s="266" t="s">
        <v>1027</v>
      </c>
      <c r="H6" s="266" t="s">
        <v>1028</v>
      </c>
      <c r="I6" s="266" t="s">
        <v>1029</v>
      </c>
    </row>
    <row r="7" spans="1:10">
      <c r="A7" s="3"/>
      <c r="B7" s="267" t="s">
        <v>746</v>
      </c>
      <c r="C7" s="142">
        <v>4</v>
      </c>
      <c r="D7" s="142">
        <v>1</v>
      </c>
      <c r="E7" s="142">
        <v>4</v>
      </c>
      <c r="F7" s="3"/>
      <c r="G7" s="142">
        <v>1</v>
      </c>
      <c r="H7" s="142">
        <v>3</v>
      </c>
      <c r="I7" s="142">
        <v>13</v>
      </c>
      <c r="J7" s="175" t="str">
        <f>IF(OR(C7&gt;2,G7&gt;2),"Target Customer","")</f>
        <v>Target Customer</v>
      </c>
    </row>
    <row r="8" spans="1:10">
      <c r="A8" s="3"/>
      <c r="B8" s="267" t="s">
        <v>751</v>
      </c>
      <c r="C8" s="3"/>
      <c r="D8" s="142">
        <v>2</v>
      </c>
      <c r="E8" s="142">
        <v>1</v>
      </c>
      <c r="F8" s="142">
        <v>2</v>
      </c>
      <c r="G8" s="142">
        <v>3</v>
      </c>
      <c r="H8" s="3"/>
      <c r="I8" s="142">
        <v>8</v>
      </c>
      <c r="J8" s="175" t="str">
        <f t="shared" ref="J8:J28" si="0">IF(OR(C8&gt;2,G8&gt;2),"Target Customer","")</f>
        <v>Target Customer</v>
      </c>
    </row>
    <row r="9" spans="1:10">
      <c r="A9" s="3"/>
      <c r="B9" s="267" t="s">
        <v>752</v>
      </c>
      <c r="C9" s="142">
        <v>1</v>
      </c>
      <c r="D9" s="3"/>
      <c r="E9" s="142">
        <v>1</v>
      </c>
      <c r="F9" s="142">
        <v>2</v>
      </c>
      <c r="G9" s="3"/>
      <c r="H9" s="3"/>
      <c r="I9" s="142">
        <v>4</v>
      </c>
      <c r="J9" s="175" t="str">
        <f t="shared" si="0"/>
        <v/>
      </c>
    </row>
    <row r="10" spans="1:10">
      <c r="A10" s="3"/>
      <c r="B10" s="267" t="s">
        <v>756</v>
      </c>
      <c r="C10" s="3"/>
      <c r="D10" s="3"/>
      <c r="E10" s="142">
        <v>3</v>
      </c>
      <c r="F10" s="3"/>
      <c r="G10" s="142">
        <v>3</v>
      </c>
      <c r="H10" s="142">
        <v>4</v>
      </c>
      <c r="I10" s="142">
        <v>10</v>
      </c>
      <c r="J10" s="175" t="str">
        <f t="shared" si="0"/>
        <v>Target Customer</v>
      </c>
    </row>
    <row r="11" spans="1:10">
      <c r="A11" s="3"/>
      <c r="B11" s="268" t="s">
        <v>757</v>
      </c>
      <c r="C11" s="142">
        <v>3</v>
      </c>
      <c r="D11" s="142">
        <v>3</v>
      </c>
      <c r="E11" s="3"/>
      <c r="F11" s="3"/>
      <c r="G11" s="269">
        <v>3</v>
      </c>
      <c r="H11" s="3"/>
      <c r="I11" s="142">
        <v>6</v>
      </c>
      <c r="J11" s="175" t="str">
        <f t="shared" si="0"/>
        <v>Target Customer</v>
      </c>
    </row>
    <row r="12" spans="1:10">
      <c r="A12" s="3"/>
      <c r="B12" s="267" t="s">
        <v>760</v>
      </c>
      <c r="C12" s="142">
        <v>1</v>
      </c>
      <c r="D12" s="3"/>
      <c r="E12" s="142">
        <v>3</v>
      </c>
      <c r="F12" s="142">
        <v>2</v>
      </c>
      <c r="G12" s="142">
        <v>1</v>
      </c>
      <c r="H12" s="142">
        <v>1</v>
      </c>
      <c r="I12" s="142">
        <v>8</v>
      </c>
      <c r="J12" s="175" t="str">
        <f t="shared" si="0"/>
        <v/>
      </c>
    </row>
    <row r="13" spans="1:10">
      <c r="A13" s="3"/>
      <c r="B13" s="267" t="s">
        <v>763</v>
      </c>
      <c r="C13" s="3"/>
      <c r="D13" s="3"/>
      <c r="E13" s="3"/>
      <c r="F13" s="3"/>
      <c r="G13" s="3"/>
      <c r="H13" s="3"/>
      <c r="I13" s="142">
        <v>0</v>
      </c>
      <c r="J13" s="175" t="str">
        <f t="shared" si="0"/>
        <v/>
      </c>
    </row>
    <row r="14" spans="1:10">
      <c r="A14" s="3"/>
      <c r="B14" s="267" t="s">
        <v>768</v>
      </c>
      <c r="C14" s="142">
        <v>3</v>
      </c>
      <c r="D14" s="142">
        <v>3</v>
      </c>
      <c r="E14" s="3"/>
      <c r="F14" s="142">
        <v>3</v>
      </c>
      <c r="G14" s="3"/>
      <c r="H14" s="142">
        <v>4</v>
      </c>
      <c r="I14" s="142">
        <v>13</v>
      </c>
      <c r="J14" s="175" t="str">
        <f t="shared" si="0"/>
        <v>Target Customer</v>
      </c>
    </row>
    <row r="15" spans="1:10">
      <c r="A15" s="3"/>
      <c r="B15" s="267" t="s">
        <v>772</v>
      </c>
      <c r="C15" s="142">
        <v>3</v>
      </c>
      <c r="D15" s="142">
        <v>1</v>
      </c>
      <c r="E15" s="3"/>
      <c r="F15" s="3"/>
      <c r="G15" s="142">
        <v>6</v>
      </c>
      <c r="H15" s="3"/>
      <c r="I15" s="142">
        <v>7</v>
      </c>
      <c r="J15" s="175" t="str">
        <f t="shared" si="0"/>
        <v>Target Customer</v>
      </c>
    </row>
    <row r="16" spans="1:10">
      <c r="B16" s="267" t="s">
        <v>773</v>
      </c>
      <c r="C16" s="3"/>
      <c r="D16" s="142">
        <v>2</v>
      </c>
      <c r="E16" s="142">
        <v>1</v>
      </c>
      <c r="F16" s="3"/>
      <c r="G16" s="142">
        <v>2</v>
      </c>
      <c r="H16" s="142">
        <v>3</v>
      </c>
      <c r="I16" s="142">
        <v>8</v>
      </c>
      <c r="J16" s="175" t="str">
        <f t="shared" si="0"/>
        <v/>
      </c>
    </row>
    <row r="17" spans="2:10">
      <c r="B17" s="267" t="s">
        <v>774</v>
      </c>
      <c r="C17" s="142">
        <v>4</v>
      </c>
      <c r="D17" s="142">
        <v>3</v>
      </c>
      <c r="E17" s="3"/>
      <c r="F17" s="142">
        <v>4</v>
      </c>
      <c r="G17" s="3"/>
      <c r="H17" s="3"/>
      <c r="I17" s="142">
        <v>11</v>
      </c>
      <c r="J17" s="175" t="str">
        <f t="shared" si="0"/>
        <v>Target Customer</v>
      </c>
    </row>
    <row r="18" spans="2:10">
      <c r="B18" s="267" t="s">
        <v>778</v>
      </c>
      <c r="C18" s="3"/>
      <c r="D18" s="3"/>
      <c r="E18" s="142">
        <v>1</v>
      </c>
      <c r="F18" s="3"/>
      <c r="G18" s="3"/>
      <c r="H18" s="142">
        <v>2</v>
      </c>
      <c r="I18" s="142">
        <v>3</v>
      </c>
      <c r="J18" s="175" t="str">
        <f t="shared" si="0"/>
        <v/>
      </c>
    </row>
    <row r="19" spans="2:10">
      <c r="B19" s="267" t="s">
        <v>783</v>
      </c>
      <c r="C19" s="142">
        <v>4</v>
      </c>
      <c r="D19" s="142">
        <v>3</v>
      </c>
      <c r="E19" s="3"/>
      <c r="F19" s="3"/>
      <c r="G19" s="142">
        <v>5</v>
      </c>
      <c r="H19" s="3"/>
      <c r="I19" s="142">
        <v>8</v>
      </c>
      <c r="J19" s="175" t="str">
        <f t="shared" si="0"/>
        <v>Target Customer</v>
      </c>
    </row>
    <row r="20" spans="2:10">
      <c r="B20" s="267" t="s">
        <v>784</v>
      </c>
      <c r="C20" s="142">
        <v>3</v>
      </c>
      <c r="D20" s="142">
        <v>4</v>
      </c>
      <c r="E20" s="142">
        <v>2</v>
      </c>
      <c r="F20" s="3"/>
      <c r="G20" s="142">
        <v>1</v>
      </c>
      <c r="H20" s="3"/>
      <c r="I20" s="142">
        <v>10</v>
      </c>
      <c r="J20" s="175" t="str">
        <f t="shared" si="0"/>
        <v>Target Customer</v>
      </c>
    </row>
    <row r="21" spans="2:10">
      <c r="B21" s="267" t="s">
        <v>785</v>
      </c>
      <c r="C21" s="142">
        <v>3</v>
      </c>
      <c r="D21" s="142">
        <v>3</v>
      </c>
      <c r="E21" s="3"/>
      <c r="F21" s="3"/>
      <c r="G21" s="142">
        <v>3</v>
      </c>
      <c r="H21" s="142">
        <v>3</v>
      </c>
      <c r="I21" s="142">
        <v>6</v>
      </c>
      <c r="J21" s="175" t="str">
        <f t="shared" si="0"/>
        <v>Target Customer</v>
      </c>
    </row>
    <row r="22" spans="2:10">
      <c r="B22" s="267" t="s">
        <v>790</v>
      </c>
      <c r="C22" s="3"/>
      <c r="D22" s="142">
        <v>1</v>
      </c>
      <c r="E22" s="3"/>
      <c r="F22" s="3"/>
      <c r="G22" s="142">
        <v>4</v>
      </c>
      <c r="H22" s="3"/>
      <c r="I22" s="142">
        <v>5</v>
      </c>
      <c r="J22" s="175" t="str">
        <f t="shared" si="0"/>
        <v>Target Customer</v>
      </c>
    </row>
    <row r="23" spans="2:10">
      <c r="B23" s="267" t="s">
        <v>791</v>
      </c>
      <c r="C23" s="142">
        <v>3</v>
      </c>
      <c r="D23" s="3"/>
      <c r="E23" s="142">
        <v>2</v>
      </c>
      <c r="F23" s="3"/>
      <c r="G23" s="3"/>
      <c r="H23" s="3"/>
      <c r="I23" s="142">
        <v>5</v>
      </c>
      <c r="J23" s="175" t="str">
        <f t="shared" si="0"/>
        <v>Target Customer</v>
      </c>
    </row>
    <row r="24" spans="2:10">
      <c r="B24" s="267" t="s">
        <v>795</v>
      </c>
      <c r="C24" s="3"/>
      <c r="D24" s="142">
        <v>4</v>
      </c>
      <c r="E24" s="3"/>
      <c r="F24" s="3"/>
      <c r="G24" s="142">
        <v>4</v>
      </c>
      <c r="H24" s="142">
        <v>4</v>
      </c>
      <c r="I24" s="142">
        <v>12</v>
      </c>
      <c r="J24" s="175" t="str">
        <f t="shared" si="0"/>
        <v>Target Customer</v>
      </c>
    </row>
    <row r="25" spans="2:10">
      <c r="B25" s="267" t="s">
        <v>796</v>
      </c>
      <c r="C25" s="142">
        <v>2</v>
      </c>
      <c r="D25" s="3"/>
      <c r="E25" s="142">
        <v>2</v>
      </c>
      <c r="F25" s="142">
        <v>2</v>
      </c>
      <c r="G25" s="3"/>
      <c r="H25" s="3"/>
      <c r="I25" s="142">
        <v>6</v>
      </c>
      <c r="J25" s="175" t="str">
        <f t="shared" si="0"/>
        <v/>
      </c>
    </row>
    <row r="26" spans="2:10">
      <c r="B26" s="267" t="s">
        <v>797</v>
      </c>
      <c r="C26" s="3"/>
      <c r="D26" s="142">
        <v>1</v>
      </c>
      <c r="E26" s="3"/>
      <c r="F26" s="3"/>
      <c r="G26" s="142">
        <v>7</v>
      </c>
      <c r="H26" s="142">
        <v>5</v>
      </c>
      <c r="I26" s="142">
        <v>13</v>
      </c>
      <c r="J26" s="175" t="str">
        <f t="shared" si="0"/>
        <v>Target Customer</v>
      </c>
    </row>
    <row r="27" spans="2:10">
      <c r="B27" s="267" t="s">
        <v>798</v>
      </c>
      <c r="C27" s="142">
        <v>2</v>
      </c>
      <c r="D27" s="3"/>
      <c r="E27" s="142">
        <v>2</v>
      </c>
      <c r="F27" s="142">
        <v>4</v>
      </c>
      <c r="G27" s="3"/>
      <c r="H27" s="3"/>
      <c r="I27" s="142">
        <v>8</v>
      </c>
      <c r="J27" s="175" t="str">
        <f t="shared" si="0"/>
        <v/>
      </c>
    </row>
    <row r="28" spans="2:10">
      <c r="B28" s="267" t="s">
        <v>802</v>
      </c>
      <c r="C28" s="142">
        <v>1</v>
      </c>
      <c r="D28" s="142">
        <v>4</v>
      </c>
      <c r="E28" s="3"/>
      <c r="F28" s="142">
        <v>2</v>
      </c>
      <c r="G28" s="142">
        <v>1</v>
      </c>
      <c r="H28" s="142">
        <v>2</v>
      </c>
      <c r="I28" s="142">
        <v>10</v>
      </c>
      <c r="J28" s="175" t="str">
        <f t="shared" si="0"/>
        <v/>
      </c>
    </row>
    <row r="29" spans="2:10" ht="16.5" thickBot="1">
      <c r="B29" s="142" t="s">
        <v>1030</v>
      </c>
      <c r="C29" s="270">
        <v>27</v>
      </c>
      <c r="D29" s="270">
        <v>35</v>
      </c>
      <c r="E29" s="270">
        <v>22</v>
      </c>
      <c r="F29" s="270">
        <v>21</v>
      </c>
      <c r="G29" s="270">
        <v>38</v>
      </c>
      <c r="H29" s="270">
        <v>31</v>
      </c>
      <c r="I29" s="270">
        <v>174</v>
      </c>
    </row>
    <row r="30" spans="2:10" ht="16.5" thickTop="1">
      <c r="B30" s="3"/>
      <c r="C30" s="3"/>
      <c r="D30" s="3"/>
      <c r="E30" s="3"/>
      <c r="F30" s="3"/>
      <c r="G30" s="3"/>
      <c r="H30" s="3"/>
      <c r="I30" s="3"/>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dimension ref="A1:F24"/>
  <sheetViews>
    <sheetView showGridLines="0" workbookViewId="0">
      <selection activeCell="F4" sqref="F4"/>
    </sheetView>
  </sheetViews>
  <sheetFormatPr defaultRowHeight="15.75"/>
  <cols>
    <col min="1" max="2" width="9.140625" style="142"/>
    <col min="3" max="3" width="12" style="142" customWidth="1"/>
    <col min="4" max="4" width="17.28515625" style="243" customWidth="1"/>
    <col min="5" max="5" width="17.28515625" style="142" customWidth="1"/>
    <col min="6" max="16384" width="9.140625" style="142"/>
  </cols>
  <sheetData>
    <row r="1" spans="1:6" ht="30">
      <c r="A1" s="113" t="s">
        <v>1858</v>
      </c>
      <c r="B1" s="114"/>
      <c r="C1" s="3"/>
      <c r="D1" s="57"/>
      <c r="E1" s="637" t="s">
        <v>2056</v>
      </c>
      <c r="F1" s="3"/>
    </row>
    <row r="3" spans="1:6" ht="32.25" thickBot="1">
      <c r="C3" s="255" t="s">
        <v>1016</v>
      </c>
      <c r="D3" s="256" t="s">
        <v>1859</v>
      </c>
      <c r="E3" s="256" t="s">
        <v>1860</v>
      </c>
    </row>
    <row r="4" spans="1:6">
      <c r="C4" s="254">
        <v>36224</v>
      </c>
      <c r="D4" s="243">
        <f>WEEKDAY(C4)</f>
        <v>6</v>
      </c>
      <c r="E4" s="175" t="str">
        <f>CHOOSE(D4,"Monday","Tuesday","Wednesday","Thursday","Friday","Saturday","Sunday")</f>
        <v>Saturday</v>
      </c>
    </row>
    <row r="5" spans="1:6">
      <c r="C5" s="254">
        <v>36312</v>
      </c>
      <c r="D5" s="243">
        <f t="shared" ref="D5:D24" si="0">WEEKDAY(C5)</f>
        <v>3</v>
      </c>
      <c r="E5" s="175" t="str">
        <f t="shared" ref="E5:E24" si="1">CHOOSE(D5,"Monday","Tuesday","Wednesday","Thursday","Friday","Saturday","Sunday")</f>
        <v>Wednesday</v>
      </c>
    </row>
    <row r="6" spans="1:6">
      <c r="C6" s="254">
        <v>36400</v>
      </c>
      <c r="D6" s="243">
        <f t="shared" si="0"/>
        <v>7</v>
      </c>
      <c r="E6" s="175" t="str">
        <f t="shared" si="1"/>
        <v>Sunday</v>
      </c>
    </row>
    <row r="7" spans="1:6">
      <c r="C7" s="254">
        <v>36488</v>
      </c>
      <c r="D7" s="243">
        <f t="shared" si="0"/>
        <v>4</v>
      </c>
      <c r="E7" s="175" t="str">
        <f t="shared" si="1"/>
        <v>Thursday</v>
      </c>
    </row>
    <row r="8" spans="1:6">
      <c r="C8" s="254">
        <v>36576</v>
      </c>
      <c r="D8" s="243">
        <f t="shared" si="0"/>
        <v>1</v>
      </c>
      <c r="E8" s="175" t="str">
        <f t="shared" si="1"/>
        <v>Monday</v>
      </c>
    </row>
    <row r="9" spans="1:6">
      <c r="C9" s="254">
        <v>36664</v>
      </c>
      <c r="D9" s="243">
        <f t="shared" si="0"/>
        <v>5</v>
      </c>
      <c r="E9" s="175" t="str">
        <f t="shared" si="1"/>
        <v>Friday</v>
      </c>
    </row>
    <row r="10" spans="1:6">
      <c r="C10" s="254">
        <v>37774</v>
      </c>
      <c r="D10" s="243">
        <f t="shared" si="0"/>
        <v>2</v>
      </c>
      <c r="E10" s="175" t="str">
        <f t="shared" si="1"/>
        <v>Tuesday</v>
      </c>
    </row>
    <row r="11" spans="1:6">
      <c r="C11" s="254">
        <v>37862</v>
      </c>
      <c r="D11" s="243">
        <f t="shared" si="0"/>
        <v>6</v>
      </c>
      <c r="E11" s="175" t="str">
        <f t="shared" si="1"/>
        <v>Saturday</v>
      </c>
    </row>
    <row r="12" spans="1:6">
      <c r="C12" s="254">
        <v>37950</v>
      </c>
      <c r="D12" s="243">
        <f t="shared" si="0"/>
        <v>3</v>
      </c>
      <c r="E12" s="175" t="str">
        <f t="shared" si="1"/>
        <v>Wednesday</v>
      </c>
    </row>
    <row r="13" spans="1:6">
      <c r="C13" s="254">
        <v>38038</v>
      </c>
      <c r="D13" s="243">
        <f t="shared" si="0"/>
        <v>7</v>
      </c>
      <c r="E13" s="175" t="str">
        <f t="shared" si="1"/>
        <v>Sunday</v>
      </c>
    </row>
    <row r="14" spans="1:6">
      <c r="C14" s="254">
        <v>38126</v>
      </c>
      <c r="D14" s="243">
        <f t="shared" si="0"/>
        <v>4</v>
      </c>
      <c r="E14" s="175" t="str">
        <f t="shared" si="1"/>
        <v>Thursday</v>
      </c>
    </row>
    <row r="15" spans="1:6">
      <c r="C15" s="254">
        <v>39324</v>
      </c>
      <c r="D15" s="243">
        <f t="shared" si="0"/>
        <v>5</v>
      </c>
      <c r="E15" s="175" t="str">
        <f t="shared" si="1"/>
        <v>Friday</v>
      </c>
    </row>
    <row r="16" spans="1:6">
      <c r="C16" s="254">
        <v>39412</v>
      </c>
      <c r="D16" s="243">
        <f t="shared" si="0"/>
        <v>2</v>
      </c>
      <c r="E16" s="175" t="str">
        <f t="shared" si="1"/>
        <v>Tuesday</v>
      </c>
    </row>
    <row r="17" spans="3:5">
      <c r="C17" s="254">
        <v>39500</v>
      </c>
      <c r="D17" s="243">
        <f t="shared" si="0"/>
        <v>6</v>
      </c>
      <c r="E17" s="175" t="str">
        <f t="shared" si="1"/>
        <v>Saturday</v>
      </c>
    </row>
    <row r="18" spans="3:5">
      <c r="C18" s="254">
        <v>39588</v>
      </c>
      <c r="D18" s="243">
        <f t="shared" si="0"/>
        <v>3</v>
      </c>
      <c r="E18" s="175" t="str">
        <f t="shared" si="1"/>
        <v>Wednesday</v>
      </c>
    </row>
    <row r="19" spans="3:5">
      <c r="C19" s="254">
        <v>39676</v>
      </c>
      <c r="D19" s="243">
        <f t="shared" si="0"/>
        <v>7</v>
      </c>
      <c r="E19" s="175" t="str">
        <f t="shared" si="1"/>
        <v>Sunday</v>
      </c>
    </row>
    <row r="20" spans="3:5">
      <c r="C20" s="254">
        <v>40874</v>
      </c>
      <c r="D20" s="243">
        <f t="shared" si="0"/>
        <v>1</v>
      </c>
      <c r="E20" s="175" t="str">
        <f t="shared" si="1"/>
        <v>Monday</v>
      </c>
    </row>
    <row r="21" spans="3:5">
      <c r="C21" s="254">
        <v>40962</v>
      </c>
      <c r="D21" s="243">
        <f t="shared" si="0"/>
        <v>5</v>
      </c>
      <c r="E21" s="175" t="str">
        <f t="shared" si="1"/>
        <v>Friday</v>
      </c>
    </row>
    <row r="22" spans="3:5">
      <c r="C22" s="254">
        <v>41050</v>
      </c>
      <c r="D22" s="243">
        <f t="shared" si="0"/>
        <v>2</v>
      </c>
      <c r="E22" s="175" t="str">
        <f t="shared" si="1"/>
        <v>Tuesday</v>
      </c>
    </row>
    <row r="23" spans="3:5">
      <c r="C23" s="254">
        <v>41138</v>
      </c>
      <c r="D23" s="243">
        <f t="shared" si="0"/>
        <v>6</v>
      </c>
      <c r="E23" s="175" t="str">
        <f t="shared" si="1"/>
        <v>Saturday</v>
      </c>
    </row>
    <row r="24" spans="3:5">
      <c r="C24" s="254">
        <v>41226</v>
      </c>
      <c r="D24" s="243">
        <f t="shared" si="0"/>
        <v>3</v>
      </c>
      <c r="E24" s="175" t="str">
        <f t="shared" si="1"/>
        <v>Wednesday</v>
      </c>
    </row>
  </sheetData>
  <sortState ref="C7:C27">
    <sortCondition ref="C7"/>
  </sortState>
  <pageMargins left="0.7" right="0.7" top="0.75" bottom="0.75" header="0.3" footer="0.3"/>
</worksheet>
</file>

<file path=xl/worksheets/sheet65.xml><?xml version="1.0" encoding="utf-8"?>
<worksheet xmlns="http://schemas.openxmlformats.org/spreadsheetml/2006/main" xmlns:r="http://schemas.openxmlformats.org/officeDocument/2006/relationships">
  <dimension ref="A1:H20"/>
  <sheetViews>
    <sheetView showGridLines="0" workbookViewId="0">
      <selection activeCell="F4" sqref="F4"/>
    </sheetView>
  </sheetViews>
  <sheetFormatPr defaultRowHeight="15.75"/>
  <cols>
    <col min="1" max="2" width="9.140625" style="142"/>
    <col min="3" max="3" width="15.5703125" style="142" customWidth="1"/>
    <col min="4" max="4" width="11.42578125" style="142" bestFit="1" customWidth="1"/>
    <col min="5" max="7" width="9.85546875" style="142" customWidth="1"/>
    <col min="8" max="8" width="13.7109375" style="243" customWidth="1"/>
    <col min="9" max="16384" width="9.140625" style="142"/>
  </cols>
  <sheetData>
    <row r="1" spans="1:8" ht="30">
      <c r="A1" s="113" t="s">
        <v>1861</v>
      </c>
      <c r="B1" s="113"/>
      <c r="C1" s="114"/>
      <c r="D1" s="3"/>
      <c r="E1" s="637" t="s">
        <v>2056</v>
      </c>
      <c r="F1" s="3"/>
      <c r="G1" s="3"/>
    </row>
    <row r="3" spans="1:8" ht="32.25" thickBot="1">
      <c r="C3" s="255" t="s">
        <v>1865</v>
      </c>
      <c r="D3" s="256" t="s">
        <v>1870</v>
      </c>
      <c r="E3" s="255" t="s">
        <v>1862</v>
      </c>
      <c r="F3" s="255" t="s">
        <v>1863</v>
      </c>
      <c r="G3" s="256" t="s">
        <v>1864</v>
      </c>
      <c r="H3" s="257" t="s">
        <v>1871</v>
      </c>
    </row>
    <row r="4" spans="1:8">
      <c r="B4" s="142" t="s">
        <v>1882</v>
      </c>
      <c r="C4" s="142" t="s">
        <v>1797</v>
      </c>
      <c r="D4" s="258">
        <v>0.66666666666666663</v>
      </c>
      <c r="E4" s="142">
        <v>1</v>
      </c>
      <c r="F4" s="142">
        <v>34</v>
      </c>
      <c r="G4" s="142">
        <v>15</v>
      </c>
      <c r="H4" s="259">
        <f>TIME(E4,F4,G4)+D4</f>
        <v>0.73211805555555554</v>
      </c>
    </row>
    <row r="5" spans="1:8">
      <c r="C5" s="142" t="s">
        <v>1866</v>
      </c>
      <c r="D5" s="258">
        <v>0.66666666666666663</v>
      </c>
      <c r="E5" s="142">
        <v>1</v>
      </c>
      <c r="F5" s="142">
        <v>29</v>
      </c>
      <c r="G5" s="142">
        <v>53</v>
      </c>
      <c r="H5" s="259">
        <f t="shared" ref="H5:H8" si="0">TIME(E5,F5,G5)+D5</f>
        <v>0.72908564814814814</v>
      </c>
    </row>
    <row r="6" spans="1:8">
      <c r="C6" s="142" t="s">
        <v>1867</v>
      </c>
      <c r="D6" s="258">
        <v>0.66666666666666663</v>
      </c>
      <c r="E6" s="142">
        <v>1</v>
      </c>
      <c r="F6" s="142">
        <v>26</v>
      </c>
      <c r="G6" s="142">
        <v>49</v>
      </c>
      <c r="H6" s="259">
        <f t="shared" si="0"/>
        <v>0.72695601851851843</v>
      </c>
    </row>
    <row r="7" spans="1:8">
      <c r="C7" s="142" t="s">
        <v>1868</v>
      </c>
      <c r="D7" s="258">
        <v>0.66666666666666663</v>
      </c>
      <c r="E7" s="142">
        <v>1</v>
      </c>
      <c r="F7" s="142">
        <v>43</v>
      </c>
      <c r="G7" s="142">
        <v>52</v>
      </c>
      <c r="H7" s="259">
        <f t="shared" si="0"/>
        <v>0.73879629629629628</v>
      </c>
    </row>
    <row r="8" spans="1:8">
      <c r="C8" s="142" t="s">
        <v>1869</v>
      </c>
      <c r="D8" s="258">
        <v>0.66666666666666663</v>
      </c>
      <c r="E8" s="142">
        <v>1</v>
      </c>
      <c r="F8" s="142">
        <v>23</v>
      </c>
      <c r="G8" s="142">
        <v>15</v>
      </c>
      <c r="H8" s="259">
        <f t="shared" si="0"/>
        <v>0.72447916666666667</v>
      </c>
    </row>
    <row r="9" spans="1:8">
      <c r="B9" s="142" t="s">
        <v>1883</v>
      </c>
      <c r="C9" s="260" t="s">
        <v>1872</v>
      </c>
      <c r="D9" s="261">
        <v>0.70833333333333304</v>
      </c>
      <c r="E9" s="260">
        <v>1</v>
      </c>
      <c r="F9" s="260">
        <v>17</v>
      </c>
      <c r="G9" s="260">
        <v>45</v>
      </c>
      <c r="H9" s="262">
        <f t="shared" ref="H9:H16" si="1">TIME(E9,F9,G9)+D9</f>
        <v>0.7623263888888886</v>
      </c>
    </row>
    <row r="10" spans="1:8">
      <c r="C10" s="142" t="s">
        <v>1873</v>
      </c>
      <c r="D10" s="258">
        <v>0.70833333333333304</v>
      </c>
      <c r="E10" s="142">
        <v>1</v>
      </c>
      <c r="F10" s="142">
        <v>44</v>
      </c>
      <c r="G10" s="142">
        <v>37</v>
      </c>
      <c r="H10" s="259">
        <f t="shared" si="1"/>
        <v>0.780983796296296</v>
      </c>
    </row>
    <row r="11" spans="1:8">
      <c r="C11" s="142" t="s">
        <v>1874</v>
      </c>
      <c r="D11" s="258">
        <v>0.70833333333333304</v>
      </c>
      <c r="E11" s="142">
        <v>1</v>
      </c>
      <c r="F11" s="142">
        <v>32</v>
      </c>
      <c r="G11" s="142">
        <v>52</v>
      </c>
      <c r="H11" s="259">
        <f t="shared" si="1"/>
        <v>0.77282407407407372</v>
      </c>
    </row>
    <row r="12" spans="1:8">
      <c r="C12" s="142" t="s">
        <v>1875</v>
      </c>
      <c r="D12" s="258">
        <v>0.70833333333333304</v>
      </c>
      <c r="E12" s="142">
        <v>1</v>
      </c>
      <c r="F12" s="142">
        <v>56</v>
      </c>
      <c r="G12" s="142">
        <v>33</v>
      </c>
      <c r="H12" s="259">
        <f t="shared" si="1"/>
        <v>0.78927083333333303</v>
      </c>
    </row>
    <row r="13" spans="1:8">
      <c r="C13" s="142" t="s">
        <v>1876</v>
      </c>
      <c r="D13" s="258">
        <v>0.70833333333333304</v>
      </c>
      <c r="E13" s="142">
        <v>1</v>
      </c>
      <c r="F13" s="142">
        <v>45</v>
      </c>
      <c r="G13" s="142">
        <v>18</v>
      </c>
      <c r="H13" s="259">
        <f t="shared" si="1"/>
        <v>0.78145833333333303</v>
      </c>
    </row>
    <row r="14" spans="1:8">
      <c r="B14" s="142" t="s">
        <v>1884</v>
      </c>
      <c r="C14" s="260" t="s">
        <v>1877</v>
      </c>
      <c r="D14" s="261">
        <v>0.75</v>
      </c>
      <c r="E14" s="260">
        <v>1</v>
      </c>
      <c r="F14" s="260">
        <v>35</v>
      </c>
      <c r="G14" s="260">
        <v>5</v>
      </c>
      <c r="H14" s="262">
        <f t="shared" si="1"/>
        <v>0.81603009259259263</v>
      </c>
    </row>
    <row r="15" spans="1:8">
      <c r="C15" s="142" t="s">
        <v>1878</v>
      </c>
      <c r="D15" s="258">
        <v>0.75</v>
      </c>
      <c r="E15" s="142">
        <v>1</v>
      </c>
      <c r="F15" s="142">
        <v>19</v>
      </c>
      <c r="G15" s="142">
        <v>23</v>
      </c>
      <c r="H15" s="259">
        <f t="shared" si="1"/>
        <v>0.80512731481481481</v>
      </c>
    </row>
    <row r="16" spans="1:8">
      <c r="C16" s="142" t="s">
        <v>1879</v>
      </c>
      <c r="D16" s="258">
        <v>0.75</v>
      </c>
      <c r="E16" s="142">
        <v>1</v>
      </c>
      <c r="F16" s="142">
        <v>5</v>
      </c>
      <c r="G16" s="142">
        <v>4</v>
      </c>
      <c r="H16" s="259">
        <f t="shared" si="1"/>
        <v>0.79518518518518522</v>
      </c>
    </row>
    <row r="17" spans="3:8">
      <c r="C17" s="142" t="s">
        <v>1880</v>
      </c>
      <c r="D17" s="258">
        <v>0.75</v>
      </c>
      <c r="E17" s="142">
        <v>1</v>
      </c>
      <c r="F17" s="142">
        <v>17</v>
      </c>
      <c r="G17" s="142">
        <v>54</v>
      </c>
      <c r="H17" s="259">
        <f t="shared" ref="H17:H18" si="2">TIME(E17,F17,G17)+D17</f>
        <v>0.80409722222222224</v>
      </c>
    </row>
    <row r="18" spans="3:8">
      <c r="C18" s="142" t="s">
        <v>1881</v>
      </c>
      <c r="D18" s="258">
        <v>0.75</v>
      </c>
      <c r="E18" s="142">
        <v>1</v>
      </c>
      <c r="F18" s="142">
        <v>22</v>
      </c>
      <c r="G18" s="142">
        <v>29</v>
      </c>
      <c r="H18" s="259">
        <f t="shared" si="2"/>
        <v>0.80728009259259259</v>
      </c>
    </row>
    <row r="19" spans="3:8">
      <c r="E19" s="263"/>
    </row>
    <row r="20" spans="3:8">
      <c r="E20" s="263"/>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dimension ref="A1:E62"/>
  <sheetViews>
    <sheetView showGridLines="0" workbookViewId="0">
      <selection activeCell="F4" sqref="F4"/>
    </sheetView>
  </sheetViews>
  <sheetFormatPr defaultRowHeight="15.75"/>
  <cols>
    <col min="1" max="1" width="26.140625" style="142" customWidth="1"/>
    <col min="2" max="2" width="12.7109375" style="142" bestFit="1" customWidth="1"/>
    <col min="3" max="3" width="9.140625" style="142"/>
    <col min="4" max="4" width="13.85546875" style="223" customWidth="1"/>
    <col min="5" max="16384" width="9.140625" style="142"/>
  </cols>
  <sheetData>
    <row r="1" spans="1:5" ht="30">
      <c r="A1" s="113" t="s">
        <v>1885</v>
      </c>
      <c r="B1" s="114"/>
      <c r="E1" s="638" t="s">
        <v>2056</v>
      </c>
    </row>
    <row r="3" spans="1:5">
      <c r="A3" s="177" t="s">
        <v>1840</v>
      </c>
      <c r="B3" s="177"/>
      <c r="C3" s="177"/>
      <c r="D3" s="251">
        <v>1000</v>
      </c>
    </row>
    <row r="4" spans="1:5">
      <c r="A4" s="180" t="s">
        <v>25</v>
      </c>
      <c r="D4" s="235">
        <v>6.5000000000000002E-2</v>
      </c>
    </row>
    <row r="5" spans="1:5">
      <c r="A5" s="252" t="s">
        <v>1887</v>
      </c>
      <c r="D5" s="253">
        <v>60</v>
      </c>
    </row>
    <row r="6" spans="1:5">
      <c r="A6" s="177"/>
      <c r="D6" s="177"/>
    </row>
    <row r="7" spans="1:5">
      <c r="A7" s="180" t="s">
        <v>1886</v>
      </c>
      <c r="D7" s="253">
        <f>FV(D4/12,D5,D3)*-1</f>
        <v>70673.967545776686</v>
      </c>
    </row>
    <row r="9" spans="1:5">
      <c r="B9" s="254"/>
    </row>
    <row r="10" spans="1:5">
      <c r="B10" s="254"/>
    </row>
    <row r="11" spans="1:5">
      <c r="B11" s="254"/>
    </row>
    <row r="12" spans="1:5">
      <c r="B12" s="254"/>
    </row>
    <row r="13" spans="1:5">
      <c r="B13" s="254"/>
    </row>
    <row r="14" spans="1:5">
      <c r="B14" s="254"/>
    </row>
    <row r="15" spans="1:5">
      <c r="B15" s="254"/>
    </row>
    <row r="16" spans="1:5">
      <c r="B16" s="254"/>
    </row>
    <row r="17" spans="2:2">
      <c r="B17" s="254"/>
    </row>
    <row r="18" spans="2:2">
      <c r="B18" s="254"/>
    </row>
    <row r="19" spans="2:2">
      <c r="B19" s="254"/>
    </row>
    <row r="20" spans="2:2">
      <c r="B20" s="254"/>
    </row>
    <row r="21" spans="2:2">
      <c r="B21" s="254"/>
    </row>
    <row r="22" spans="2:2">
      <c r="B22" s="254"/>
    </row>
    <row r="23" spans="2:2">
      <c r="B23" s="254"/>
    </row>
    <row r="24" spans="2:2">
      <c r="B24" s="254"/>
    </row>
    <row r="25" spans="2:2">
      <c r="B25" s="254"/>
    </row>
    <row r="26" spans="2:2">
      <c r="B26" s="254"/>
    </row>
    <row r="27" spans="2:2">
      <c r="B27" s="254"/>
    </row>
    <row r="28" spans="2:2">
      <c r="B28" s="254"/>
    </row>
    <row r="29" spans="2:2">
      <c r="B29" s="254"/>
    </row>
    <row r="30" spans="2:2">
      <c r="B30" s="254"/>
    </row>
    <row r="31" spans="2:2">
      <c r="B31" s="254"/>
    </row>
    <row r="32" spans="2:2">
      <c r="B32" s="254"/>
    </row>
    <row r="33" spans="2:2">
      <c r="B33" s="254"/>
    </row>
    <row r="34" spans="2:2">
      <c r="B34" s="254"/>
    </row>
    <row r="35" spans="2:2">
      <c r="B35" s="254"/>
    </row>
    <row r="36" spans="2:2">
      <c r="B36" s="254"/>
    </row>
    <row r="37" spans="2:2">
      <c r="B37" s="254"/>
    </row>
    <row r="38" spans="2:2">
      <c r="B38" s="254"/>
    </row>
    <row r="39" spans="2:2">
      <c r="B39" s="254"/>
    </row>
    <row r="40" spans="2:2">
      <c r="B40" s="254"/>
    </row>
    <row r="41" spans="2:2">
      <c r="B41" s="254"/>
    </row>
    <row r="42" spans="2:2">
      <c r="B42" s="254"/>
    </row>
    <row r="43" spans="2:2">
      <c r="B43" s="254"/>
    </row>
    <row r="44" spans="2:2">
      <c r="B44" s="254"/>
    </row>
    <row r="45" spans="2:2">
      <c r="B45" s="254"/>
    </row>
    <row r="46" spans="2:2">
      <c r="B46" s="254"/>
    </row>
    <row r="47" spans="2:2">
      <c r="B47" s="254"/>
    </row>
    <row r="48" spans="2:2">
      <c r="B48" s="254"/>
    </row>
    <row r="49" spans="2:2">
      <c r="B49" s="254"/>
    </row>
    <row r="50" spans="2:2">
      <c r="B50" s="254"/>
    </row>
    <row r="51" spans="2:2">
      <c r="B51" s="254"/>
    </row>
    <row r="52" spans="2:2">
      <c r="B52" s="254"/>
    </row>
    <row r="53" spans="2:2">
      <c r="B53" s="254"/>
    </row>
    <row r="54" spans="2:2">
      <c r="B54" s="254"/>
    </row>
    <row r="55" spans="2:2">
      <c r="B55" s="254"/>
    </row>
    <row r="56" spans="2:2">
      <c r="B56" s="254"/>
    </row>
    <row r="57" spans="2:2">
      <c r="B57" s="254"/>
    </row>
    <row r="58" spans="2:2">
      <c r="B58" s="254"/>
    </row>
    <row r="59" spans="2:2">
      <c r="B59" s="254"/>
    </row>
    <row r="60" spans="2:2">
      <c r="B60" s="254"/>
    </row>
    <row r="61" spans="2:2">
      <c r="B61" s="254"/>
    </row>
    <row r="62" spans="2:2">
      <c r="B62" s="254"/>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dimension ref="A1:E17"/>
  <sheetViews>
    <sheetView showGridLines="0" workbookViewId="0">
      <selection activeCell="F4" sqref="F4"/>
    </sheetView>
  </sheetViews>
  <sheetFormatPr defaultRowHeight="15.75"/>
  <cols>
    <col min="1" max="1" width="33.42578125" style="142" customWidth="1"/>
    <col min="2" max="2" width="15.7109375" style="142" customWidth="1"/>
    <col min="3" max="3" width="12.7109375" style="142" customWidth="1"/>
    <col min="4" max="4" width="13.85546875" style="223" customWidth="1"/>
    <col min="5" max="16384" width="9.140625" style="142"/>
  </cols>
  <sheetData>
    <row r="1" spans="1:5" ht="30">
      <c r="A1" s="113" t="s">
        <v>1888</v>
      </c>
      <c r="B1" s="114"/>
      <c r="E1" s="638" t="s">
        <v>2056</v>
      </c>
    </row>
    <row r="3" spans="1:5" ht="29.25" customHeight="1" thickBot="1">
      <c r="B3" s="239" t="s">
        <v>1898</v>
      </c>
      <c r="C3" s="240" t="s">
        <v>1897</v>
      </c>
    </row>
    <row r="4" spans="1:5" ht="16.5" customHeight="1">
      <c r="A4" s="241" t="s">
        <v>1889</v>
      </c>
      <c r="B4" s="242">
        <v>-70000</v>
      </c>
      <c r="C4" s="243" t="s">
        <v>1899</v>
      </c>
    </row>
    <row r="5" spans="1:5" ht="16.5" customHeight="1">
      <c r="A5" s="244" t="s">
        <v>1890</v>
      </c>
      <c r="B5" s="245">
        <v>12000</v>
      </c>
      <c r="C5" s="246" t="s">
        <v>1899</v>
      </c>
    </row>
    <row r="6" spans="1:5" ht="16.5" customHeight="1">
      <c r="A6" s="241" t="s">
        <v>1891</v>
      </c>
      <c r="B6" s="242">
        <v>15000</v>
      </c>
      <c r="C6" s="247">
        <f>IRR($B$4:B6,-0.1)</f>
        <v>-0.44350694133465401</v>
      </c>
    </row>
    <row r="7" spans="1:5" ht="16.5" customHeight="1">
      <c r="A7" s="244" t="s">
        <v>1892</v>
      </c>
      <c r="B7" s="245">
        <v>18000</v>
      </c>
      <c r="C7" s="247">
        <f>IRR($B$4:B7,0.1)</f>
        <v>-0.18213746414552726</v>
      </c>
    </row>
    <row r="8" spans="1:5" ht="16.5" customHeight="1">
      <c r="A8" s="241" t="s">
        <v>1893</v>
      </c>
      <c r="B8" s="242">
        <v>21000</v>
      </c>
      <c r="C8" s="247">
        <f>IRR($B$4:B8,0.1)</f>
        <v>-2.1244848273020495E-2</v>
      </c>
    </row>
    <row r="9" spans="1:5" ht="16.5" customHeight="1">
      <c r="A9" s="244" t="s">
        <v>1894</v>
      </c>
      <c r="B9" s="245">
        <v>26000</v>
      </c>
      <c r="C9" s="247">
        <f>IRR($B$4:B9,0.1)</f>
        <v>8.6630948036342498E-2</v>
      </c>
    </row>
    <row r="10" spans="1:5" ht="16.5" customHeight="1">
      <c r="A10" s="248" t="s">
        <v>1896</v>
      </c>
      <c r="B10" s="245">
        <v>54000</v>
      </c>
      <c r="C10" s="247">
        <f>IRR($B$4:B10,0.1)</f>
        <v>0.19770646460321112</v>
      </c>
    </row>
    <row r="11" spans="1:5" ht="16.5" customHeight="1">
      <c r="B11" s="245"/>
      <c r="C11" s="244"/>
    </row>
    <row r="12" spans="1:5">
      <c r="B12" s="249"/>
    </row>
    <row r="16" spans="1:5">
      <c r="D16" s="250" t="s">
        <v>1900</v>
      </c>
    </row>
    <row r="17" spans="4:4">
      <c r="D17" s="248" t="s">
        <v>1895</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dimension ref="A1:I16"/>
  <sheetViews>
    <sheetView showGridLines="0" workbookViewId="0">
      <selection activeCell="F4" sqref="F4"/>
    </sheetView>
  </sheetViews>
  <sheetFormatPr defaultRowHeight="15.75"/>
  <cols>
    <col min="1" max="1" width="39.85546875" style="142" customWidth="1"/>
    <col min="2" max="2" width="15.7109375" style="142" customWidth="1"/>
    <col min="3" max="3" width="12.7109375" style="142" customWidth="1"/>
    <col min="4" max="4" width="62.42578125" style="223" customWidth="1"/>
    <col min="5" max="16384" width="9.140625" style="142"/>
  </cols>
  <sheetData>
    <row r="1" spans="1:9" ht="30">
      <c r="A1" s="113" t="s">
        <v>1888</v>
      </c>
      <c r="B1" s="114"/>
      <c r="E1" s="638" t="s">
        <v>2056</v>
      </c>
    </row>
    <row r="5" spans="1:9">
      <c r="A5" s="224" t="s">
        <v>1901</v>
      </c>
      <c r="B5" s="225">
        <v>40224</v>
      </c>
    </row>
    <row r="6" spans="1:9">
      <c r="A6" s="226" t="s">
        <v>1902</v>
      </c>
      <c r="B6" s="227">
        <v>43419</v>
      </c>
    </row>
    <row r="7" spans="1:9">
      <c r="A7" s="224" t="s">
        <v>1903</v>
      </c>
      <c r="B7" s="228">
        <v>2.75E-2</v>
      </c>
    </row>
    <row r="8" spans="1:9">
      <c r="A8" s="226" t="s">
        <v>178</v>
      </c>
      <c r="B8" s="229">
        <v>92.25</v>
      </c>
    </row>
    <row r="9" spans="1:9">
      <c r="A9" s="224" t="s">
        <v>1904</v>
      </c>
      <c r="B9" s="230">
        <v>100</v>
      </c>
    </row>
    <row r="10" spans="1:9">
      <c r="A10" s="231" t="s">
        <v>1906</v>
      </c>
      <c r="B10" s="232">
        <v>2</v>
      </c>
    </row>
    <row r="11" spans="1:9">
      <c r="A11" s="233" t="s">
        <v>1907</v>
      </c>
      <c r="B11" s="234">
        <v>0</v>
      </c>
    </row>
    <row r="14" spans="1:9">
      <c r="B14" s="235">
        <f>YIELD(B5,B6,B7,B8,B9,B10,B11)</f>
        <v>3.7989351477634117E-2</v>
      </c>
    </row>
    <row r="15" spans="1:9">
      <c r="D15" s="236" t="s">
        <v>1900</v>
      </c>
    </row>
    <row r="16" spans="1:9" ht="75.75">
      <c r="A16" s="3"/>
      <c r="D16" s="237" t="s">
        <v>1905</v>
      </c>
      <c r="E16" s="238"/>
      <c r="F16" s="238"/>
      <c r="G16" s="238"/>
      <c r="H16" s="238"/>
      <c r="I16" s="238"/>
    </row>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dimension ref="A1:G20"/>
  <sheetViews>
    <sheetView showGridLines="0" workbookViewId="0">
      <selection activeCell="F4" sqref="F4"/>
    </sheetView>
  </sheetViews>
  <sheetFormatPr defaultRowHeight="26.25"/>
  <cols>
    <col min="1" max="1" width="3.42578125" style="211" customWidth="1"/>
    <col min="2" max="2" width="34.42578125" style="210" customWidth="1"/>
    <col min="3" max="3" width="4.140625" style="211" customWidth="1"/>
    <col min="4" max="4" width="87.85546875" style="212" customWidth="1"/>
    <col min="5" max="7" width="15.85546875" style="211" customWidth="1"/>
    <col min="8" max="8" width="11.5703125" style="211" customWidth="1"/>
    <col min="9" max="24" width="10.28515625" style="211" customWidth="1"/>
    <col min="25" max="27" width="10" style="211" customWidth="1"/>
    <col min="28" max="16384" width="9.140625" style="211"/>
  </cols>
  <sheetData>
    <row r="1" spans="1:7" ht="31.5">
      <c r="A1" s="209" t="s">
        <v>1920</v>
      </c>
      <c r="E1" s="639" t="s">
        <v>2056</v>
      </c>
      <c r="G1" s="210"/>
    </row>
    <row r="2" spans="1:7" ht="20.25" customHeight="1">
      <c r="A2" s="209"/>
      <c r="G2" s="210"/>
    </row>
    <row r="3" spans="1:7" ht="20.25" customHeight="1">
      <c r="A3" s="209"/>
      <c r="D3" s="221" t="s">
        <v>1908</v>
      </c>
      <c r="E3" s="213"/>
      <c r="G3" s="210"/>
    </row>
    <row r="4" spans="1:7" ht="20.25" customHeight="1">
      <c r="B4" s="211"/>
    </row>
    <row r="5" spans="1:7" ht="20.25" customHeight="1">
      <c r="B5" s="222" t="s">
        <v>1909</v>
      </c>
      <c r="D5" s="217" t="str">
        <f ca="1">CELL("address",D3)</f>
        <v>$D$3</v>
      </c>
    </row>
    <row r="6" spans="1:7" ht="20.25" customHeight="1">
      <c r="B6" s="222" t="s">
        <v>1910</v>
      </c>
      <c r="D6" s="217">
        <f ca="1">CELL("col",$D$3)</f>
        <v>4</v>
      </c>
    </row>
    <row r="7" spans="1:7" ht="20.25" customHeight="1">
      <c r="B7" s="222" t="s">
        <v>1911</v>
      </c>
      <c r="D7" s="217" t="str">
        <f ca="1">CELL("contents",$D$3)</f>
        <v>Hello</v>
      </c>
    </row>
    <row r="8" spans="1:7" ht="20.25" customHeight="1">
      <c r="B8" s="222" t="s">
        <v>1912</v>
      </c>
      <c r="D8" s="217" t="str">
        <f ca="1">CELL("filename",$D$3)</f>
        <v>C:\Data\2010\Excel Example Files\[Excel - Functions.xlsx]60 CELL</v>
      </c>
    </row>
    <row r="9" spans="1:7" ht="20.25" customHeight="1">
      <c r="B9" s="222" t="s">
        <v>1913</v>
      </c>
      <c r="D9" s="217" t="str">
        <f ca="1">CELL("format",$D$3)</f>
        <v>D4</v>
      </c>
    </row>
    <row r="10" spans="1:7" ht="20.25" customHeight="1">
      <c r="B10" s="222" t="s">
        <v>1914</v>
      </c>
      <c r="D10" s="217">
        <f ca="1">CELL("parentheses",$D$3)</f>
        <v>0</v>
      </c>
    </row>
    <row r="11" spans="1:7" ht="20.25" customHeight="1">
      <c r="B11" s="222" t="s">
        <v>1915</v>
      </c>
      <c r="D11" s="217" t="str">
        <f ca="1">CELL("prefix",$D$3)</f>
        <v>'</v>
      </c>
    </row>
    <row r="12" spans="1:7" ht="20.25" customHeight="1">
      <c r="B12" s="222" t="s">
        <v>1916</v>
      </c>
      <c r="D12" s="217">
        <f ca="1">CELL("protect",$D$3)</f>
        <v>0</v>
      </c>
    </row>
    <row r="13" spans="1:7" ht="20.25" customHeight="1">
      <c r="B13" s="222" t="s">
        <v>1917</v>
      </c>
      <c r="D13" s="217">
        <f ca="1">CELL("row",$D$3)</f>
        <v>3</v>
      </c>
    </row>
    <row r="14" spans="1:7" ht="20.25" customHeight="1">
      <c r="B14" s="222" t="s">
        <v>1918</v>
      </c>
      <c r="D14" s="217" t="str">
        <f ca="1">CELL("type",$D$3)</f>
        <v>l</v>
      </c>
    </row>
    <row r="15" spans="1:7" ht="20.25" customHeight="1">
      <c r="B15" s="222" t="s">
        <v>1919</v>
      </c>
      <c r="D15" s="217">
        <f ca="1">CELL("width",$D$3)</f>
        <v>87</v>
      </c>
    </row>
    <row r="16" spans="1:7" ht="20.25" customHeight="1"/>
    <row r="17" ht="21.75" customHeight="1"/>
    <row r="18" ht="21.75" customHeight="1"/>
    <row r="19" ht="21.75" customHeight="1"/>
    <row r="20" ht="21.75" customHeight="1"/>
  </sheetData>
  <conditionalFormatting sqref="C1:G36 B1:B4 B6:B36">
    <cfRule type="expression" dxfId="7" priority="2" stopIfTrue="1">
      <formula>"istext(b3:i34)"</formula>
    </cfRule>
  </conditionalFormatting>
  <conditionalFormatting sqref="B5">
    <cfRule type="expression" dxfId="6" priority="1" stopIfTrue="1">
      <formula>"istext(b3)"</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F18"/>
  <sheetViews>
    <sheetView showGridLines="0" zoomScale="120" zoomScaleNormal="120" workbookViewId="0">
      <selection activeCell="F4" sqref="F4"/>
    </sheetView>
  </sheetViews>
  <sheetFormatPr defaultRowHeight="15"/>
  <cols>
    <col min="1" max="4" width="13.7109375" style="539" customWidth="1"/>
    <col min="5" max="6" width="9.140625" style="539"/>
    <col min="7" max="7" width="9.5703125" style="539" customWidth="1"/>
    <col min="8" max="16384" width="9.140625" style="539"/>
  </cols>
  <sheetData>
    <row r="1" spans="1:6" ht="19.5">
      <c r="A1" s="538"/>
      <c r="B1" s="538"/>
      <c r="C1" s="538"/>
      <c r="D1" s="538"/>
      <c r="E1" s="636" t="s">
        <v>2056</v>
      </c>
    </row>
    <row r="2" spans="1:6">
      <c r="A2" s="647" t="s">
        <v>18</v>
      </c>
      <c r="B2" s="645"/>
      <c r="C2" s="645"/>
      <c r="D2" s="645"/>
    </row>
    <row r="3" spans="1:6">
      <c r="A3" s="645"/>
      <c r="B3" s="645"/>
      <c r="C3" s="645"/>
      <c r="D3" s="645"/>
    </row>
    <row r="4" spans="1:6" ht="19.5">
      <c r="A4" s="538"/>
      <c r="B4" s="538"/>
      <c r="C4" s="538"/>
      <c r="D4" s="538"/>
    </row>
    <row r="5" spans="1:6">
      <c r="A5" s="540">
        <f ca="1">TODAY()</f>
        <v>40261</v>
      </c>
    </row>
    <row r="6" spans="1:6" ht="15" customHeight="1">
      <c r="A6" s="541" t="s">
        <v>0</v>
      </c>
      <c r="B6" s="541" t="s">
        <v>1</v>
      </c>
      <c r="C6" s="541" t="s">
        <v>12</v>
      </c>
      <c r="D6" s="541" t="s">
        <v>17</v>
      </c>
    </row>
    <row r="7" spans="1:6" ht="15" customHeight="1">
      <c r="A7" s="539" t="s">
        <v>4</v>
      </c>
      <c r="B7" s="542">
        <v>39508</v>
      </c>
      <c r="C7" s="543" t="s">
        <v>13</v>
      </c>
      <c r="D7" s="544" t="str">
        <f>IF(OR(C7="A",C7="C"),"Tuesday","Thursday")</f>
        <v>Tuesday</v>
      </c>
      <c r="F7" s="545" t="s">
        <v>632</v>
      </c>
    </row>
    <row r="8" spans="1:6">
      <c r="A8" s="546" t="s">
        <v>3</v>
      </c>
      <c r="B8" s="547">
        <v>38657</v>
      </c>
      <c r="C8" s="548" t="s">
        <v>14</v>
      </c>
      <c r="D8" s="544" t="str">
        <f t="shared" ref="D8:D15" si="0">IF(OR(C8="A",C8="C"),"Tuesday","Thursday")</f>
        <v>Thursday</v>
      </c>
    </row>
    <row r="9" spans="1:6" s="549" customFormat="1">
      <c r="A9" s="549" t="s">
        <v>5</v>
      </c>
      <c r="B9" s="542">
        <v>37773</v>
      </c>
      <c r="C9" s="543" t="s">
        <v>15</v>
      </c>
      <c r="D9" s="544" t="str">
        <f t="shared" si="0"/>
        <v>Tuesday</v>
      </c>
    </row>
    <row r="10" spans="1:6">
      <c r="A10" s="546" t="s">
        <v>2</v>
      </c>
      <c r="B10" s="547">
        <v>39114</v>
      </c>
      <c r="C10" s="548" t="s">
        <v>16</v>
      </c>
      <c r="D10" s="544" t="str">
        <f t="shared" si="0"/>
        <v>Thursday</v>
      </c>
    </row>
    <row r="11" spans="1:6">
      <c r="A11" s="550" t="s">
        <v>621</v>
      </c>
      <c r="B11" s="551">
        <v>39508</v>
      </c>
      <c r="C11" s="543" t="s">
        <v>13</v>
      </c>
      <c r="D11" s="544" t="str">
        <f t="shared" si="0"/>
        <v>Tuesday</v>
      </c>
    </row>
    <row r="12" spans="1:6">
      <c r="A12" s="550" t="s">
        <v>622</v>
      </c>
      <c r="B12" s="552">
        <v>38657</v>
      </c>
      <c r="C12" s="548" t="s">
        <v>14</v>
      </c>
      <c r="D12" s="544" t="str">
        <f t="shared" si="0"/>
        <v>Thursday</v>
      </c>
    </row>
    <row r="13" spans="1:6">
      <c r="A13" s="553" t="s">
        <v>618</v>
      </c>
      <c r="B13" s="554">
        <v>38770</v>
      </c>
      <c r="C13" s="543" t="s">
        <v>15</v>
      </c>
      <c r="D13" s="544" t="str">
        <f t="shared" si="0"/>
        <v>Tuesday</v>
      </c>
    </row>
    <row r="14" spans="1:6">
      <c r="A14" s="553" t="s">
        <v>619</v>
      </c>
      <c r="B14" s="554">
        <v>37353</v>
      </c>
      <c r="C14" s="548" t="s">
        <v>16</v>
      </c>
      <c r="D14" s="544" t="str">
        <f t="shared" si="0"/>
        <v>Thursday</v>
      </c>
    </row>
    <row r="15" spans="1:6">
      <c r="A15" s="555" t="s">
        <v>620</v>
      </c>
      <c r="B15" s="554">
        <v>38566</v>
      </c>
      <c r="C15" s="543" t="s">
        <v>13</v>
      </c>
      <c r="D15" s="544" t="str">
        <f t="shared" si="0"/>
        <v>Tuesday</v>
      </c>
    </row>
    <row r="18" spans="4:4">
      <c r="D18" s="556" t="s">
        <v>633</v>
      </c>
    </row>
  </sheetData>
  <mergeCells count="1">
    <mergeCell ref="A2:D3"/>
  </mergeCell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70.xml><?xml version="1.0" encoding="utf-8"?>
<worksheet xmlns="http://schemas.openxmlformats.org/spreadsheetml/2006/main" xmlns:r="http://schemas.openxmlformats.org/officeDocument/2006/relationships">
  <dimension ref="A1:G18"/>
  <sheetViews>
    <sheetView showGridLines="0" workbookViewId="0">
      <selection activeCell="F4" sqref="F4"/>
    </sheetView>
  </sheetViews>
  <sheetFormatPr defaultRowHeight="26.25"/>
  <cols>
    <col min="1" max="1" width="3.42578125" style="211" customWidth="1"/>
    <col min="2" max="2" width="14.140625" style="210" customWidth="1"/>
    <col min="3" max="3" width="75" style="211" customWidth="1"/>
    <col min="4" max="4" width="33.85546875" style="212" customWidth="1"/>
    <col min="5" max="7" width="15.85546875" style="211" customWidth="1"/>
    <col min="8" max="8" width="11.5703125" style="211" customWidth="1"/>
    <col min="9" max="24" width="10.28515625" style="211" customWidth="1"/>
    <col min="25" max="27" width="10" style="211" customWidth="1"/>
    <col min="28" max="16384" width="9.140625" style="211"/>
  </cols>
  <sheetData>
    <row r="1" spans="1:7" ht="31.5">
      <c r="A1" s="209" t="s">
        <v>1943</v>
      </c>
      <c r="E1" s="639" t="s">
        <v>2056</v>
      </c>
      <c r="G1" s="210"/>
    </row>
    <row r="2" spans="1:7" ht="20.25" customHeight="1">
      <c r="A2" s="209"/>
      <c r="G2" s="210"/>
    </row>
    <row r="3" spans="1:7" ht="20.25" customHeight="1">
      <c r="A3" s="209"/>
      <c r="D3" s="211"/>
      <c r="E3" s="213"/>
      <c r="G3" s="210"/>
    </row>
    <row r="4" spans="1:7" ht="20.25" customHeight="1">
      <c r="B4" s="211"/>
    </row>
    <row r="5" spans="1:7" ht="20.25" customHeight="1">
      <c r="A5" s="214"/>
      <c r="B5" s="215" t="s">
        <v>1929</v>
      </c>
      <c r="C5" s="216" t="s">
        <v>1930</v>
      </c>
      <c r="D5" s="217" t="str">
        <f ca="1">INFO("directory")</f>
        <v>C:\Data\2010\Excel Example Files\</v>
      </c>
    </row>
    <row r="6" spans="1:7" ht="20.25" customHeight="1">
      <c r="A6" s="214"/>
      <c r="B6" s="215" t="s">
        <v>1931</v>
      </c>
      <c r="C6" s="216" t="s">
        <v>1932</v>
      </c>
      <c r="D6" s="217">
        <f ca="1">INFO("numfile")</f>
        <v>94</v>
      </c>
    </row>
    <row r="7" spans="1:7" ht="90">
      <c r="A7" s="214"/>
      <c r="B7" s="215" t="s">
        <v>1933</v>
      </c>
      <c r="C7" s="218" t="s">
        <v>1934</v>
      </c>
      <c r="D7" s="217" t="str">
        <f ca="1">INFO("origin")</f>
        <v>$A:$A$1</v>
      </c>
    </row>
    <row r="8" spans="1:7" ht="20.25" customHeight="1">
      <c r="A8" s="214"/>
      <c r="B8" s="215" t="s">
        <v>1935</v>
      </c>
      <c r="C8" s="216" t="s">
        <v>1936</v>
      </c>
      <c r="D8" s="217" t="str">
        <f ca="1">INFO("osversion")</f>
        <v>Windows (32-bit) NT 6.00</v>
      </c>
    </row>
    <row r="9" spans="1:7" ht="20.25" customHeight="1">
      <c r="A9" s="214"/>
      <c r="B9" s="215" t="s">
        <v>1937</v>
      </c>
      <c r="C9" s="216" t="s">
        <v>1938</v>
      </c>
      <c r="D9" s="217" t="str">
        <f ca="1">INFO("recalc")</f>
        <v>Automatic</v>
      </c>
    </row>
    <row r="10" spans="1:7" ht="20.25" customHeight="1">
      <c r="A10" s="214"/>
      <c r="B10" s="215" t="s">
        <v>1939</v>
      </c>
      <c r="C10" s="216" t="s">
        <v>1940</v>
      </c>
      <c r="D10" s="217" t="str">
        <f ca="1">INFO("release")</f>
        <v>12.0</v>
      </c>
    </row>
    <row r="11" spans="1:7" ht="20.25" customHeight="1">
      <c r="A11" s="214"/>
      <c r="B11" s="656" t="s">
        <v>1941</v>
      </c>
      <c r="C11" s="219" t="s">
        <v>1942</v>
      </c>
      <c r="D11" s="217" t="str">
        <f ca="1">INFO("system")</f>
        <v>pcdos</v>
      </c>
    </row>
    <row r="12" spans="1:7" ht="20.25" customHeight="1">
      <c r="A12" s="214"/>
      <c r="B12" s="656"/>
      <c r="C12" s="216"/>
      <c r="D12" s="216"/>
    </row>
    <row r="13" spans="1:7" ht="20.25" customHeight="1">
      <c r="A13" s="214"/>
      <c r="B13" s="656"/>
      <c r="C13" s="216"/>
      <c r="D13" s="220"/>
    </row>
    <row r="14" spans="1:7" ht="20.25" customHeight="1"/>
    <row r="15" spans="1:7" ht="21.75" customHeight="1"/>
    <row r="16" spans="1:7" ht="21.75" customHeight="1"/>
    <row r="17" ht="21.75" customHeight="1"/>
    <row r="18" ht="21.75" customHeight="1"/>
  </sheetData>
  <mergeCells count="1">
    <mergeCell ref="B11:B13"/>
  </mergeCells>
  <conditionalFormatting sqref="B1:C4 E1:G34 B14:D34 D1:D11">
    <cfRule type="expression" dxfId="5" priority="2" stopIfTrue="1">
      <formula>"istext(b3:i34)"</formula>
    </cfRule>
  </conditionalFormatting>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dimension ref="A1:I21"/>
  <sheetViews>
    <sheetView showGridLines="0" workbookViewId="0">
      <selection activeCell="F4" sqref="F4"/>
    </sheetView>
  </sheetViews>
  <sheetFormatPr defaultRowHeight="15.75"/>
  <cols>
    <col min="1" max="4" width="9.140625" style="142"/>
    <col min="5" max="5" width="27.85546875" style="142" customWidth="1"/>
    <col min="6" max="6" width="18.42578125" style="142" customWidth="1"/>
    <col min="7" max="7" width="13" style="142" customWidth="1"/>
    <col min="8" max="8" width="21" style="142" customWidth="1"/>
    <col min="9" max="16384" width="9.140625" style="142"/>
  </cols>
  <sheetData>
    <row r="1" spans="1:9" ht="23.25">
      <c r="A1" s="33" t="s">
        <v>1921</v>
      </c>
      <c r="E1" s="638" t="s">
        <v>2056</v>
      </c>
    </row>
    <row r="2" spans="1:9" s="196" customFormat="1" ht="16.5" customHeight="1"/>
    <row r="3" spans="1:9" s="196" customFormat="1" ht="16.5" customHeight="1"/>
    <row r="4" spans="1:9" s="196" customFormat="1" ht="16.5" customHeight="1"/>
    <row r="5" spans="1:9" s="196" customFormat="1" ht="16.5" customHeight="1">
      <c r="F5" s="197" t="s">
        <v>266</v>
      </c>
      <c r="G5" s="198">
        <v>34000</v>
      </c>
    </row>
    <row r="6" spans="1:9" s="196" customFormat="1" ht="16.5" customHeight="1">
      <c r="F6" s="197" t="s">
        <v>1922</v>
      </c>
      <c r="G6" s="198">
        <v>200</v>
      </c>
    </row>
    <row r="7" spans="1:9" s="196" customFormat="1" ht="16.5" customHeight="1">
      <c r="F7" s="197" t="s">
        <v>1923</v>
      </c>
      <c r="G7" s="198">
        <v>5</v>
      </c>
      <c r="H7" s="199" t="s">
        <v>1841</v>
      </c>
    </row>
    <row r="8" spans="1:9" s="196" customFormat="1" ht="16.5" customHeight="1">
      <c r="F8" s="197" t="s">
        <v>1925</v>
      </c>
      <c r="G8" s="198"/>
      <c r="H8" s="199"/>
    </row>
    <row r="9" spans="1:9" s="196" customFormat="1" ht="16.5" customHeight="1"/>
    <row r="10" spans="1:9" s="196" customFormat="1" ht="16.5" customHeight="1"/>
    <row r="11" spans="1:9" s="196" customFormat="1" ht="16.5" customHeight="1">
      <c r="H11" s="200" t="s">
        <v>1926</v>
      </c>
      <c r="I11" s="200" t="s">
        <v>1927</v>
      </c>
    </row>
    <row r="12" spans="1:9" s="196" customFormat="1" ht="16.5" customHeight="1">
      <c r="C12" s="201" t="s">
        <v>1924</v>
      </c>
      <c r="F12" s="202" t="e">
        <f>SYD(G5,G6,G7,G8)</f>
        <v>#NUM!</v>
      </c>
      <c r="H12" s="203" t="e">
        <v>#NULL!</v>
      </c>
      <c r="I12" s="204">
        <v>1</v>
      </c>
    </row>
    <row r="13" spans="1:9" s="196" customFormat="1" ht="16.5" customHeight="1">
      <c r="H13" s="205" t="e">
        <v>#DIV/0!</v>
      </c>
      <c r="I13" s="206">
        <v>2</v>
      </c>
    </row>
    <row r="14" spans="1:9" s="196" customFormat="1" ht="16.5" customHeight="1">
      <c r="H14" s="203" t="e">
        <v>#VALUE!</v>
      </c>
      <c r="I14" s="204">
        <v>3</v>
      </c>
    </row>
    <row r="15" spans="1:9" s="196" customFormat="1" ht="16.5" customHeight="1">
      <c r="H15" s="205" t="e">
        <v>#REF!</v>
      </c>
      <c r="I15" s="206">
        <v>4</v>
      </c>
    </row>
    <row r="16" spans="1:9" s="196" customFormat="1" ht="16.5" customHeight="1">
      <c r="F16" s="207">
        <f>ERROR.TYPE(F12)</f>
        <v>6</v>
      </c>
      <c r="H16" s="203" t="e">
        <v>#NAME?</v>
      </c>
      <c r="I16" s="204">
        <v>5</v>
      </c>
    </row>
    <row r="17" spans="2:9" s="196" customFormat="1" ht="16.5" customHeight="1">
      <c r="H17" s="205" t="e">
        <v>#NUM!</v>
      </c>
      <c r="I17" s="206">
        <v>6</v>
      </c>
    </row>
    <row r="18" spans="2:9" s="196" customFormat="1" ht="16.5" customHeight="1">
      <c r="B18" s="201"/>
      <c r="H18" s="203" t="e">
        <v>#N/A</v>
      </c>
      <c r="I18" s="204">
        <v>7</v>
      </c>
    </row>
    <row r="19" spans="2:9" s="196" customFormat="1" ht="16.5" customHeight="1">
      <c r="H19" s="205" t="e">
        <v>#N/A</v>
      </c>
      <c r="I19" s="206">
        <v>8</v>
      </c>
    </row>
    <row r="20" spans="2:9">
      <c r="H20" s="203" t="s">
        <v>1928</v>
      </c>
      <c r="I20" s="204" t="e">
        <v>#N/A</v>
      </c>
    </row>
    <row r="21" spans="2:9">
      <c r="H21" s="208"/>
      <c r="I21" s="208"/>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dimension ref="A1:E8"/>
  <sheetViews>
    <sheetView showGridLines="0" workbookViewId="0">
      <selection activeCell="F4" sqref="F4"/>
    </sheetView>
  </sheetViews>
  <sheetFormatPr defaultRowHeight="15.75"/>
  <cols>
    <col min="1" max="2" width="9.140625" style="142"/>
    <col min="3" max="3" width="22.42578125" style="142" customWidth="1"/>
    <col min="4" max="16384" width="9.140625" style="142"/>
  </cols>
  <sheetData>
    <row r="1" spans="1:5" ht="26.25">
      <c r="A1" s="144" t="s">
        <v>1944</v>
      </c>
      <c r="E1" s="638" t="s">
        <v>2056</v>
      </c>
    </row>
    <row r="3" spans="1:5" ht="23.25" customHeight="1"/>
    <row r="4" spans="1:5" ht="23.25" customHeight="1">
      <c r="C4" s="194"/>
    </row>
    <row r="5" spans="1:5" ht="23.25" customHeight="1"/>
    <row r="6" spans="1:5" ht="23.25" customHeight="1">
      <c r="C6" s="195" t="b">
        <f>ISBLANK(C4)</f>
        <v>1</v>
      </c>
    </row>
    <row r="7" spans="1:5" ht="23.25" customHeight="1"/>
    <row r="8" spans="1:5" ht="23.25" customHeight="1"/>
  </sheetData>
  <pageMargins left="0.7" right="0.7" top="0.75" bottom="0.75" header="0.3" footer="0.3"/>
</worksheet>
</file>

<file path=xl/worksheets/sheet73.xml><?xml version="1.0" encoding="utf-8"?>
<worksheet xmlns="http://schemas.openxmlformats.org/spreadsheetml/2006/main" xmlns:r="http://schemas.openxmlformats.org/officeDocument/2006/relationships">
  <dimension ref="A1:G11"/>
  <sheetViews>
    <sheetView showGridLines="0" workbookViewId="0">
      <selection activeCell="F4" sqref="F4"/>
    </sheetView>
  </sheetViews>
  <sheetFormatPr defaultRowHeight="15.75"/>
  <cols>
    <col min="1" max="2" width="9.140625" style="142"/>
    <col min="3" max="3" width="22.42578125" style="142" customWidth="1"/>
    <col min="4" max="16384" width="9.140625" style="142"/>
  </cols>
  <sheetData>
    <row r="1" spans="1:7" ht="26.25">
      <c r="A1" s="144" t="s">
        <v>1944</v>
      </c>
      <c r="E1" s="638" t="s">
        <v>2056</v>
      </c>
    </row>
    <row r="3" spans="1:7" ht="23.25" customHeight="1"/>
    <row r="4" spans="1:7" ht="23.25" customHeight="1">
      <c r="C4" s="194"/>
    </row>
    <row r="5" spans="1:7" ht="23.25" customHeight="1"/>
    <row r="6" spans="1:7" ht="23.25" customHeight="1">
      <c r="C6" s="195" t="b">
        <f>ISNA(C4)</f>
        <v>0</v>
      </c>
    </row>
    <row r="7" spans="1:7" ht="23.25" customHeight="1"/>
    <row r="8" spans="1:7" ht="23.25" customHeight="1"/>
    <row r="9" spans="1:7">
      <c r="G9" s="177" t="s">
        <v>1900</v>
      </c>
    </row>
    <row r="10" spans="1:7">
      <c r="G10" s="176" t="s">
        <v>1945</v>
      </c>
    </row>
    <row r="11" spans="1:7">
      <c r="G11" s="142" t="str">
        <f>IF(C4="","Yes","No")</f>
        <v>Yes</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dimension ref="A1:M215"/>
  <sheetViews>
    <sheetView showGridLines="0" workbookViewId="0">
      <selection activeCell="F4" sqref="F4"/>
    </sheetView>
  </sheetViews>
  <sheetFormatPr defaultRowHeight="15.75"/>
  <cols>
    <col min="1" max="1" width="14.140625" style="142" customWidth="1"/>
    <col min="2" max="6" width="10.5703125" style="142" customWidth="1"/>
    <col min="7" max="12" width="9.140625" style="142"/>
    <col min="13" max="13" width="11.5703125" style="142" bestFit="1" customWidth="1"/>
    <col min="14" max="16384" width="9.140625" style="142"/>
  </cols>
  <sheetData>
    <row r="1" spans="1:13" ht="26.25">
      <c r="A1" s="144" t="s">
        <v>1946</v>
      </c>
      <c r="E1" s="638" t="s">
        <v>2056</v>
      </c>
    </row>
    <row r="2" spans="1:13">
      <c r="I2" s="142" t="s">
        <v>2030</v>
      </c>
      <c r="M2" s="181">
        <f>GETPIVOTDATA("Billings",$A$4,"Staff","Jesseca","Month","March")</f>
        <v>15950</v>
      </c>
    </row>
    <row r="3" spans="1:13">
      <c r="I3" s="142" t="s">
        <v>2031</v>
      </c>
      <c r="M3" s="181">
        <f>GETPIVOTDATA("Billings",$A$4,"Staff","Martin","Month","April")</f>
        <v>20775</v>
      </c>
    </row>
    <row r="4" spans="1:13">
      <c r="A4" s="182" t="s">
        <v>2026</v>
      </c>
      <c r="B4" s="182" t="s">
        <v>2028</v>
      </c>
      <c r="C4" s="3"/>
      <c r="D4" s="3"/>
      <c r="E4" s="3"/>
      <c r="F4" s="3"/>
    </row>
    <row r="5" spans="1:13">
      <c r="A5" s="182" t="s">
        <v>2027</v>
      </c>
      <c r="B5" s="3" t="s">
        <v>1955</v>
      </c>
      <c r="C5" s="3" t="s">
        <v>1977</v>
      </c>
      <c r="D5" s="3" t="s">
        <v>1959</v>
      </c>
      <c r="E5" s="3" t="s">
        <v>1963</v>
      </c>
      <c r="F5" s="3" t="s">
        <v>701</v>
      </c>
    </row>
    <row r="6" spans="1:13">
      <c r="A6" s="183" t="s">
        <v>1954</v>
      </c>
      <c r="B6" s="184">
        <v>2655</v>
      </c>
      <c r="C6" s="184"/>
      <c r="D6" s="184">
        <v>1305</v>
      </c>
      <c r="E6" s="184"/>
      <c r="F6" s="184">
        <v>3960</v>
      </c>
    </row>
    <row r="7" spans="1:13">
      <c r="A7" s="183" t="s">
        <v>1801</v>
      </c>
      <c r="B7" s="184">
        <v>1725</v>
      </c>
      <c r="C7" s="184"/>
      <c r="D7" s="184">
        <v>2302.5</v>
      </c>
      <c r="E7" s="184"/>
      <c r="F7" s="184">
        <v>4027.5</v>
      </c>
    </row>
    <row r="8" spans="1:13">
      <c r="A8" s="183" t="s">
        <v>1962</v>
      </c>
      <c r="B8" s="184"/>
      <c r="C8" s="184">
        <v>600</v>
      </c>
      <c r="D8" s="184"/>
      <c r="E8" s="184">
        <v>1280</v>
      </c>
      <c r="F8" s="184">
        <v>1880</v>
      </c>
    </row>
    <row r="9" spans="1:13">
      <c r="A9" s="183" t="s">
        <v>1967</v>
      </c>
      <c r="B9" s="184">
        <v>2962.5</v>
      </c>
      <c r="C9" s="184"/>
      <c r="D9" s="184">
        <v>1087.5</v>
      </c>
      <c r="E9" s="184"/>
      <c r="F9" s="184">
        <v>4050</v>
      </c>
    </row>
    <row r="10" spans="1:13">
      <c r="A10" s="183" t="s">
        <v>2029</v>
      </c>
      <c r="B10" s="184">
        <v>5910</v>
      </c>
      <c r="C10" s="184"/>
      <c r="D10" s="184">
        <v>15950</v>
      </c>
      <c r="E10" s="184"/>
      <c r="F10" s="184">
        <v>21860</v>
      </c>
    </row>
    <row r="11" spans="1:13">
      <c r="A11" s="183" t="s">
        <v>1721</v>
      </c>
      <c r="B11" s="184">
        <v>2212.5</v>
      </c>
      <c r="C11" s="184"/>
      <c r="D11" s="184">
        <v>2425</v>
      </c>
      <c r="E11" s="184"/>
      <c r="F11" s="184">
        <v>4637.5</v>
      </c>
    </row>
    <row r="12" spans="1:13">
      <c r="A12" s="183" t="s">
        <v>1976</v>
      </c>
      <c r="B12" s="184"/>
      <c r="C12" s="184">
        <v>1440</v>
      </c>
      <c r="D12" s="184"/>
      <c r="E12" s="184">
        <v>200</v>
      </c>
      <c r="F12" s="184">
        <v>1640</v>
      </c>
    </row>
    <row r="13" spans="1:13">
      <c r="A13" s="183" t="s">
        <v>1878</v>
      </c>
      <c r="B13" s="184"/>
      <c r="C13" s="184">
        <v>3800</v>
      </c>
      <c r="D13" s="184"/>
      <c r="E13" s="184">
        <v>1970</v>
      </c>
      <c r="F13" s="184">
        <v>5770</v>
      </c>
    </row>
    <row r="14" spans="1:13">
      <c r="A14" s="183" t="s">
        <v>2003</v>
      </c>
      <c r="B14" s="184"/>
      <c r="C14" s="184">
        <v>1900</v>
      </c>
      <c r="D14" s="184"/>
      <c r="E14" s="184">
        <v>1740</v>
      </c>
      <c r="F14" s="184">
        <v>3640</v>
      </c>
    </row>
    <row r="15" spans="1:13">
      <c r="A15" s="183" t="s">
        <v>1833</v>
      </c>
      <c r="B15" s="184"/>
      <c r="C15" s="184">
        <v>1150</v>
      </c>
      <c r="D15" s="184"/>
      <c r="E15" s="184">
        <v>1890</v>
      </c>
      <c r="F15" s="184">
        <v>3040</v>
      </c>
    </row>
    <row r="16" spans="1:13">
      <c r="A16" s="183" t="s">
        <v>1979</v>
      </c>
      <c r="B16" s="184"/>
      <c r="C16" s="184">
        <v>8550</v>
      </c>
      <c r="D16" s="184"/>
      <c r="E16" s="184">
        <v>20775</v>
      </c>
      <c r="F16" s="184">
        <v>29325</v>
      </c>
    </row>
    <row r="17" spans="1:6">
      <c r="A17" s="183" t="s">
        <v>1988</v>
      </c>
      <c r="B17" s="184"/>
      <c r="C17" s="184">
        <v>2250</v>
      </c>
      <c r="D17" s="184"/>
      <c r="E17" s="184">
        <v>2190</v>
      </c>
      <c r="F17" s="184">
        <v>4440</v>
      </c>
    </row>
    <row r="18" spans="1:6">
      <c r="A18" s="183" t="s">
        <v>1989</v>
      </c>
      <c r="B18" s="184"/>
      <c r="C18" s="184">
        <v>12180</v>
      </c>
      <c r="D18" s="184"/>
      <c r="E18" s="184">
        <v>5415</v>
      </c>
      <c r="F18" s="184">
        <v>17595</v>
      </c>
    </row>
    <row r="19" spans="1:6">
      <c r="A19" s="183" t="s">
        <v>1567</v>
      </c>
      <c r="B19" s="184">
        <v>1350</v>
      </c>
      <c r="C19" s="184"/>
      <c r="D19" s="184">
        <v>1432.5</v>
      </c>
      <c r="E19" s="184"/>
      <c r="F19" s="184">
        <v>2782.5</v>
      </c>
    </row>
    <row r="20" spans="1:6">
      <c r="A20" s="183" t="s">
        <v>943</v>
      </c>
      <c r="B20" s="184">
        <v>19150</v>
      </c>
      <c r="C20" s="184"/>
      <c r="D20" s="184">
        <v>10437.5</v>
      </c>
      <c r="E20" s="184">
        <v>300</v>
      </c>
      <c r="F20" s="184">
        <v>29887.5</v>
      </c>
    </row>
    <row r="21" spans="1:6">
      <c r="A21" s="183" t="s">
        <v>1797</v>
      </c>
      <c r="B21" s="184"/>
      <c r="C21" s="184">
        <v>1000</v>
      </c>
      <c r="D21" s="184"/>
      <c r="E21" s="184">
        <v>2650</v>
      </c>
      <c r="F21" s="184">
        <v>3650</v>
      </c>
    </row>
    <row r="22" spans="1:6">
      <c r="A22" s="183" t="s">
        <v>701</v>
      </c>
      <c r="B22" s="184">
        <v>35965</v>
      </c>
      <c r="C22" s="184">
        <v>32870</v>
      </c>
      <c r="D22" s="184">
        <v>34940</v>
      </c>
      <c r="E22" s="184">
        <v>38410</v>
      </c>
      <c r="F22" s="184">
        <v>142185</v>
      </c>
    </row>
    <row r="23" spans="1:6">
      <c r="A23" s="3"/>
      <c r="B23" s="3"/>
    </row>
    <row r="24" spans="1:6">
      <c r="A24" s="3"/>
      <c r="B24" s="3"/>
    </row>
    <row r="25" spans="1:6">
      <c r="A25" s="3"/>
      <c r="B25" s="3"/>
    </row>
    <row r="26" spans="1:6">
      <c r="A26" s="3"/>
      <c r="B26" s="3"/>
    </row>
    <row r="27" spans="1:6">
      <c r="A27" s="3"/>
      <c r="B27" s="3"/>
    </row>
    <row r="28" spans="1:6">
      <c r="A28" s="3"/>
      <c r="B28" s="3"/>
    </row>
    <row r="29" spans="1:6">
      <c r="A29" s="3"/>
      <c r="B29" s="3"/>
    </row>
    <row r="30" spans="1:6">
      <c r="A30" s="3"/>
      <c r="B30" s="3"/>
    </row>
    <row r="31" spans="1:6">
      <c r="A31" s="3"/>
      <c r="B31" s="3"/>
    </row>
    <row r="32" spans="1:6">
      <c r="A32" s="3"/>
      <c r="B32" s="3"/>
    </row>
    <row r="33" spans="1:2">
      <c r="A33" s="3"/>
      <c r="B33" s="3"/>
    </row>
    <row r="34" spans="1:2">
      <c r="A34" s="3"/>
      <c r="B34" s="3"/>
    </row>
    <row r="35" spans="1:2">
      <c r="A35" s="3"/>
      <c r="B35" s="3"/>
    </row>
    <row r="36" spans="1:2">
      <c r="A36" s="3"/>
      <c r="B36" s="3"/>
    </row>
    <row r="37" spans="1:2">
      <c r="A37" s="3"/>
      <c r="B37" s="3"/>
    </row>
    <row r="38" spans="1:2">
      <c r="A38" s="3"/>
      <c r="B38" s="3"/>
    </row>
    <row r="39" spans="1:2">
      <c r="A39" s="3"/>
      <c r="B39" s="3"/>
    </row>
    <row r="40" spans="1:2">
      <c r="A40" s="3"/>
      <c r="B40" s="3"/>
    </row>
    <row r="41" spans="1:2">
      <c r="A41" s="3"/>
      <c r="B41" s="3"/>
    </row>
    <row r="42" spans="1:2">
      <c r="A42" s="3"/>
      <c r="B42" s="3"/>
    </row>
    <row r="43" spans="1:2">
      <c r="A43" s="3"/>
      <c r="B43" s="3"/>
    </row>
    <row r="44" spans="1:2">
      <c r="A44" s="3"/>
      <c r="B44" s="3"/>
    </row>
    <row r="45" spans="1:2">
      <c r="A45" s="3"/>
      <c r="B45" s="3"/>
    </row>
    <row r="46" spans="1:2">
      <c r="A46" s="3"/>
      <c r="B46" s="3"/>
    </row>
    <row r="47" spans="1:2">
      <c r="A47" s="3"/>
      <c r="B47" s="3"/>
    </row>
    <row r="48" spans="1:2">
      <c r="A48" s="3"/>
      <c r="B48" s="3"/>
    </row>
    <row r="49" spans="1:10">
      <c r="A49" s="3"/>
      <c r="B49" s="3"/>
    </row>
    <row r="50" spans="1:10">
      <c r="A50" s="3"/>
      <c r="B50" s="3"/>
    </row>
    <row r="51" spans="1:10">
      <c r="A51" s="3"/>
      <c r="B51" s="3"/>
    </row>
    <row r="52" spans="1:10">
      <c r="A52" s="3"/>
      <c r="B52" s="3"/>
    </row>
    <row r="53" spans="1:10">
      <c r="A53" s="3"/>
      <c r="B53" s="3"/>
    </row>
    <row r="54" spans="1:10">
      <c r="A54" s="3"/>
      <c r="B54" s="3"/>
    </row>
    <row r="62" spans="1:10" ht="16.5" thickBot="1">
      <c r="A62" s="185" t="s">
        <v>1947</v>
      </c>
      <c r="B62" s="185" t="s">
        <v>1948</v>
      </c>
      <c r="C62" s="185" t="s">
        <v>1949</v>
      </c>
      <c r="D62" s="185" t="s">
        <v>1950</v>
      </c>
      <c r="E62" s="185" t="s">
        <v>1951</v>
      </c>
      <c r="F62" s="185" t="s">
        <v>264</v>
      </c>
      <c r="G62" s="186" t="s">
        <v>1862</v>
      </c>
      <c r="H62" s="187" t="s">
        <v>1952</v>
      </c>
      <c r="I62" s="187" t="s">
        <v>571</v>
      </c>
      <c r="J62" s="188" t="s">
        <v>1953</v>
      </c>
    </row>
    <row r="63" spans="1:10">
      <c r="A63" s="189" t="s">
        <v>1954</v>
      </c>
      <c r="B63" s="189" t="s">
        <v>1955</v>
      </c>
      <c r="C63" s="190">
        <v>1040</v>
      </c>
      <c r="D63" s="189" t="s">
        <v>1956</v>
      </c>
      <c r="E63" s="189" t="s">
        <v>1957</v>
      </c>
      <c r="F63" s="190" t="s">
        <v>1958</v>
      </c>
      <c r="G63" s="191">
        <v>19</v>
      </c>
      <c r="H63" s="192">
        <v>1425</v>
      </c>
      <c r="I63" s="192">
        <v>1311</v>
      </c>
      <c r="J63" s="192">
        <f t="shared" ref="J63:J126" si="0">H63-I63</f>
        <v>114</v>
      </c>
    </row>
    <row r="64" spans="1:10">
      <c r="A64" s="189" t="s">
        <v>1801</v>
      </c>
      <c r="B64" s="189" t="s">
        <v>1959</v>
      </c>
      <c r="C64" s="190">
        <v>1065</v>
      </c>
      <c r="D64" s="189" t="s">
        <v>1956</v>
      </c>
      <c r="E64" s="189" t="s">
        <v>1960</v>
      </c>
      <c r="F64" s="193" t="s">
        <v>1961</v>
      </c>
      <c r="G64" s="191">
        <v>22</v>
      </c>
      <c r="H64" s="192">
        <v>1650</v>
      </c>
      <c r="I64" s="192">
        <v>1848</v>
      </c>
      <c r="J64" s="192">
        <f t="shared" si="0"/>
        <v>-198</v>
      </c>
    </row>
    <row r="65" spans="1:10">
      <c r="A65" s="189" t="s">
        <v>1962</v>
      </c>
      <c r="B65" s="189" t="s">
        <v>1963</v>
      </c>
      <c r="C65" s="190" t="s">
        <v>1964</v>
      </c>
      <c r="D65" s="189" t="s">
        <v>1965</v>
      </c>
      <c r="E65" s="189" t="s">
        <v>1966</v>
      </c>
      <c r="F65" s="190" t="s">
        <v>1958</v>
      </c>
      <c r="G65" s="191">
        <v>10.199999999999999</v>
      </c>
      <c r="H65" s="192">
        <v>1020</v>
      </c>
      <c r="I65" s="192">
        <v>1377</v>
      </c>
      <c r="J65" s="192">
        <f t="shared" si="0"/>
        <v>-357</v>
      </c>
    </row>
    <row r="66" spans="1:10">
      <c r="A66" s="189" t="s">
        <v>1967</v>
      </c>
      <c r="B66" s="189" t="s">
        <v>1959</v>
      </c>
      <c r="C66" s="190">
        <v>1065</v>
      </c>
      <c r="D66" s="189" t="s">
        <v>1956</v>
      </c>
      <c r="E66" s="189" t="s">
        <v>1957</v>
      </c>
      <c r="F66" s="190" t="s">
        <v>1958</v>
      </c>
      <c r="G66" s="191">
        <v>18.399999999999999</v>
      </c>
      <c r="H66" s="192">
        <v>630</v>
      </c>
      <c r="I66" s="192">
        <v>705.6</v>
      </c>
      <c r="J66" s="192">
        <f t="shared" si="0"/>
        <v>-75.600000000000023</v>
      </c>
    </row>
    <row r="67" spans="1:10">
      <c r="A67" s="189" t="s">
        <v>1967</v>
      </c>
      <c r="B67" s="189" t="s">
        <v>1955</v>
      </c>
      <c r="C67" s="190">
        <v>1120</v>
      </c>
      <c r="D67" s="189" t="s">
        <v>1956</v>
      </c>
      <c r="E67" s="189" t="s">
        <v>1960</v>
      </c>
      <c r="F67" s="193" t="s">
        <v>1961</v>
      </c>
      <c r="G67" s="191">
        <v>32</v>
      </c>
      <c r="H67" s="192">
        <v>2400</v>
      </c>
      <c r="I67" s="192">
        <v>2208</v>
      </c>
      <c r="J67" s="192">
        <f t="shared" si="0"/>
        <v>192</v>
      </c>
    </row>
    <row r="68" spans="1:10">
      <c r="A68" s="189" t="s">
        <v>1967</v>
      </c>
      <c r="B68" s="189" t="s">
        <v>1959</v>
      </c>
      <c r="C68" s="190">
        <v>1040</v>
      </c>
      <c r="D68" s="189" t="s">
        <v>1956</v>
      </c>
      <c r="E68" s="189" t="s">
        <v>1968</v>
      </c>
      <c r="F68" s="190" t="s">
        <v>1958</v>
      </c>
      <c r="G68" s="191">
        <v>2.6</v>
      </c>
      <c r="H68" s="192">
        <v>195</v>
      </c>
      <c r="I68" s="192">
        <v>218.4</v>
      </c>
      <c r="J68" s="192">
        <f t="shared" si="0"/>
        <v>-23.400000000000006</v>
      </c>
    </row>
    <row r="69" spans="1:10">
      <c r="A69" s="189" t="s">
        <v>1969</v>
      </c>
      <c r="B69" s="189" t="s">
        <v>1959</v>
      </c>
      <c r="C69" s="190">
        <v>1040</v>
      </c>
      <c r="D69" s="189" t="s">
        <v>1956</v>
      </c>
      <c r="E69" s="189" t="s">
        <v>1966</v>
      </c>
      <c r="F69" s="190" t="s">
        <v>1958</v>
      </c>
      <c r="G69" s="191">
        <v>19</v>
      </c>
      <c r="H69" s="192">
        <v>1900</v>
      </c>
      <c r="I69" s="192">
        <v>2128</v>
      </c>
      <c r="J69" s="192">
        <f t="shared" si="0"/>
        <v>-228</v>
      </c>
    </row>
    <row r="70" spans="1:10">
      <c r="A70" s="189" t="s">
        <v>1969</v>
      </c>
      <c r="B70" s="189" t="s">
        <v>1959</v>
      </c>
      <c r="C70" s="190">
        <v>1120</v>
      </c>
      <c r="D70" s="189" t="s">
        <v>1956</v>
      </c>
      <c r="E70" s="193" t="s">
        <v>1970</v>
      </c>
      <c r="F70" s="193" t="s">
        <v>1961</v>
      </c>
      <c r="G70" s="191">
        <v>17</v>
      </c>
      <c r="H70" s="192">
        <v>1700</v>
      </c>
      <c r="I70" s="192">
        <v>1904</v>
      </c>
      <c r="J70" s="192">
        <f t="shared" si="0"/>
        <v>-204</v>
      </c>
    </row>
    <row r="71" spans="1:10">
      <c r="A71" s="189" t="s">
        <v>1721</v>
      </c>
      <c r="B71" s="189" t="s">
        <v>1959</v>
      </c>
      <c r="C71" s="190">
        <v>1040</v>
      </c>
      <c r="D71" s="189" t="s">
        <v>1956</v>
      </c>
      <c r="E71" s="189" t="s">
        <v>1971</v>
      </c>
      <c r="F71" s="190" t="s">
        <v>1958</v>
      </c>
      <c r="G71" s="191">
        <v>16</v>
      </c>
      <c r="H71" s="192">
        <v>1600</v>
      </c>
      <c r="I71" s="192">
        <v>1792</v>
      </c>
      <c r="J71" s="192">
        <f t="shared" si="0"/>
        <v>-192</v>
      </c>
    </row>
    <row r="72" spans="1:10">
      <c r="A72" s="189" t="s">
        <v>1969</v>
      </c>
      <c r="B72" s="189" t="s">
        <v>1955</v>
      </c>
      <c r="C72" s="190">
        <v>1040</v>
      </c>
      <c r="D72" s="189" t="s">
        <v>1956</v>
      </c>
      <c r="E72" s="189" t="s">
        <v>1972</v>
      </c>
      <c r="F72" s="190" t="s">
        <v>1958</v>
      </c>
      <c r="G72" s="191">
        <v>3.5</v>
      </c>
      <c r="H72" s="192">
        <v>350</v>
      </c>
      <c r="I72" s="192">
        <v>322</v>
      </c>
      <c r="J72" s="192">
        <f t="shared" si="0"/>
        <v>28</v>
      </c>
    </row>
    <row r="73" spans="1:10">
      <c r="A73" s="189" t="s">
        <v>1969</v>
      </c>
      <c r="B73" s="189" t="s">
        <v>1955</v>
      </c>
      <c r="C73" s="190">
        <v>1040</v>
      </c>
      <c r="D73" s="189" t="s">
        <v>1956</v>
      </c>
      <c r="E73" s="189" t="s">
        <v>1973</v>
      </c>
      <c r="F73" s="190" t="s">
        <v>1958</v>
      </c>
      <c r="G73" s="191">
        <v>3.7</v>
      </c>
      <c r="H73" s="192">
        <v>370</v>
      </c>
      <c r="I73" s="192">
        <v>340.4</v>
      </c>
      <c r="J73" s="192">
        <f t="shared" si="0"/>
        <v>29.600000000000023</v>
      </c>
    </row>
    <row r="74" spans="1:10">
      <c r="A74" s="189" t="s">
        <v>1969</v>
      </c>
      <c r="B74" s="189" t="s">
        <v>1959</v>
      </c>
      <c r="C74" s="190">
        <v>1040</v>
      </c>
      <c r="D74" s="189" t="s">
        <v>1956</v>
      </c>
      <c r="E74" s="189" t="s">
        <v>1973</v>
      </c>
      <c r="F74" s="190" t="s">
        <v>1958</v>
      </c>
      <c r="G74" s="191">
        <v>8.4</v>
      </c>
      <c r="H74" s="192">
        <v>840</v>
      </c>
      <c r="I74" s="192">
        <v>940.8</v>
      </c>
      <c r="J74" s="192">
        <f t="shared" si="0"/>
        <v>-100.79999999999995</v>
      </c>
    </row>
    <row r="75" spans="1:10">
      <c r="A75" s="189" t="s">
        <v>1969</v>
      </c>
      <c r="B75" s="189" t="s">
        <v>1959</v>
      </c>
      <c r="C75" s="190">
        <v>1040</v>
      </c>
      <c r="D75" s="189" t="s">
        <v>1956</v>
      </c>
      <c r="E75" s="189" t="s">
        <v>1974</v>
      </c>
      <c r="F75" s="190" t="s">
        <v>1958</v>
      </c>
      <c r="G75" s="191">
        <v>8</v>
      </c>
      <c r="H75" s="192">
        <v>800</v>
      </c>
      <c r="I75" s="192">
        <v>896</v>
      </c>
      <c r="J75" s="192">
        <f t="shared" si="0"/>
        <v>-96</v>
      </c>
    </row>
    <row r="76" spans="1:10">
      <c r="A76" s="189" t="s">
        <v>1969</v>
      </c>
      <c r="B76" s="189" t="s">
        <v>1955</v>
      </c>
      <c r="C76" s="190">
        <v>1040</v>
      </c>
      <c r="D76" s="189" t="s">
        <v>1956</v>
      </c>
      <c r="E76" s="189" t="s">
        <v>1974</v>
      </c>
      <c r="F76" s="190" t="s">
        <v>1958</v>
      </c>
      <c r="G76" s="191">
        <v>6</v>
      </c>
      <c r="H76" s="192">
        <v>600</v>
      </c>
      <c r="I76" s="192">
        <v>552</v>
      </c>
      <c r="J76" s="192">
        <f t="shared" si="0"/>
        <v>48</v>
      </c>
    </row>
    <row r="77" spans="1:10">
      <c r="A77" s="189" t="s">
        <v>1721</v>
      </c>
      <c r="B77" s="189" t="s">
        <v>1959</v>
      </c>
      <c r="C77" s="190">
        <v>1120</v>
      </c>
      <c r="D77" s="189" t="s">
        <v>1956</v>
      </c>
      <c r="E77" s="189" t="s">
        <v>1975</v>
      </c>
      <c r="F77" s="193" t="s">
        <v>1961</v>
      </c>
      <c r="G77" s="191">
        <v>2</v>
      </c>
      <c r="H77" s="192">
        <v>150</v>
      </c>
      <c r="I77" s="192">
        <v>168</v>
      </c>
      <c r="J77" s="192">
        <f t="shared" si="0"/>
        <v>-18</v>
      </c>
    </row>
    <row r="78" spans="1:10">
      <c r="A78" s="189" t="s">
        <v>1976</v>
      </c>
      <c r="B78" s="189" t="s">
        <v>1963</v>
      </c>
      <c r="C78" s="190">
        <v>1040</v>
      </c>
      <c r="D78" s="189" t="s">
        <v>1956</v>
      </c>
      <c r="E78" s="189" t="s">
        <v>1973</v>
      </c>
      <c r="F78" s="190" t="s">
        <v>1958</v>
      </c>
      <c r="G78" s="191">
        <v>2</v>
      </c>
      <c r="H78" s="192">
        <v>200</v>
      </c>
      <c r="I78" s="192">
        <v>270</v>
      </c>
      <c r="J78" s="192">
        <f t="shared" si="0"/>
        <v>-70</v>
      </c>
    </row>
    <row r="79" spans="1:10">
      <c r="A79" s="189" t="s">
        <v>1878</v>
      </c>
      <c r="B79" s="189" t="s">
        <v>1977</v>
      </c>
      <c r="C79" s="190">
        <v>1040</v>
      </c>
      <c r="D79" s="189" t="s">
        <v>1956</v>
      </c>
      <c r="E79" s="189" t="s">
        <v>1971</v>
      </c>
      <c r="F79" s="190" t="s">
        <v>1958</v>
      </c>
      <c r="G79" s="191">
        <v>32</v>
      </c>
      <c r="H79" s="192">
        <v>3200</v>
      </c>
      <c r="I79" s="192">
        <v>3168</v>
      </c>
      <c r="J79" s="192">
        <f t="shared" si="0"/>
        <v>32</v>
      </c>
    </row>
    <row r="80" spans="1:10">
      <c r="A80" s="189" t="s">
        <v>1833</v>
      </c>
      <c r="B80" s="189" t="s">
        <v>1977</v>
      </c>
      <c r="C80" s="190">
        <v>1120</v>
      </c>
      <c r="D80" s="189" t="s">
        <v>1956</v>
      </c>
      <c r="E80" s="193" t="s">
        <v>1970</v>
      </c>
      <c r="F80" s="193" t="s">
        <v>1961</v>
      </c>
      <c r="G80" s="191">
        <v>8</v>
      </c>
      <c r="H80" s="192">
        <v>800</v>
      </c>
      <c r="I80" s="192">
        <v>792</v>
      </c>
      <c r="J80" s="192">
        <f t="shared" si="0"/>
        <v>8</v>
      </c>
    </row>
    <row r="81" spans="1:10">
      <c r="A81" s="189" t="s">
        <v>1833</v>
      </c>
      <c r="B81" s="189" t="s">
        <v>1963</v>
      </c>
      <c r="C81" s="190" t="s">
        <v>1978</v>
      </c>
      <c r="D81" s="189" t="s">
        <v>1956</v>
      </c>
      <c r="E81" s="189" t="s">
        <v>1972</v>
      </c>
      <c r="F81" s="190" t="s">
        <v>1958</v>
      </c>
      <c r="G81" s="191">
        <v>6</v>
      </c>
      <c r="H81" s="192">
        <v>600</v>
      </c>
      <c r="I81" s="192">
        <v>810</v>
      </c>
      <c r="J81" s="192">
        <f t="shared" si="0"/>
        <v>-210</v>
      </c>
    </row>
    <row r="82" spans="1:10">
      <c r="A82" s="189" t="s">
        <v>1979</v>
      </c>
      <c r="B82" s="189" t="s">
        <v>1963</v>
      </c>
      <c r="C82" s="190" t="s">
        <v>1978</v>
      </c>
      <c r="D82" s="189" t="s">
        <v>1956</v>
      </c>
      <c r="E82" s="189" t="s">
        <v>1980</v>
      </c>
      <c r="F82" s="190" t="s">
        <v>1958</v>
      </c>
      <c r="G82" s="191">
        <v>6</v>
      </c>
      <c r="H82" s="192">
        <v>750</v>
      </c>
      <c r="I82" s="192">
        <v>1012.5</v>
      </c>
      <c r="J82" s="192">
        <f t="shared" si="0"/>
        <v>-262.5</v>
      </c>
    </row>
    <row r="83" spans="1:10">
      <c r="A83" s="189" t="s">
        <v>1979</v>
      </c>
      <c r="B83" s="189" t="s">
        <v>1977</v>
      </c>
      <c r="C83" s="190">
        <v>1040</v>
      </c>
      <c r="D83" s="189" t="s">
        <v>1956</v>
      </c>
      <c r="E83" s="189" t="s">
        <v>1980</v>
      </c>
      <c r="F83" s="190" t="s">
        <v>1958</v>
      </c>
      <c r="G83" s="191">
        <v>3.5</v>
      </c>
      <c r="H83" s="192">
        <v>437.5</v>
      </c>
      <c r="I83" s="192">
        <v>433.125</v>
      </c>
      <c r="J83" s="192">
        <f t="shared" si="0"/>
        <v>4.375</v>
      </c>
    </row>
    <row r="84" spans="1:10">
      <c r="A84" s="189" t="s">
        <v>1979</v>
      </c>
      <c r="B84" s="189" t="s">
        <v>1977</v>
      </c>
      <c r="C84" s="190">
        <v>1040</v>
      </c>
      <c r="D84" s="189" t="s">
        <v>1956</v>
      </c>
      <c r="E84" s="189" t="s">
        <v>1981</v>
      </c>
      <c r="F84" s="190" t="s">
        <v>1958</v>
      </c>
      <c r="G84" s="191">
        <v>2</v>
      </c>
      <c r="H84" s="192">
        <v>250</v>
      </c>
      <c r="I84" s="192">
        <v>247.5</v>
      </c>
      <c r="J84" s="192">
        <f t="shared" si="0"/>
        <v>2.5</v>
      </c>
    </row>
    <row r="85" spans="1:10">
      <c r="A85" s="189" t="s">
        <v>1979</v>
      </c>
      <c r="B85" s="189" t="s">
        <v>1963</v>
      </c>
      <c r="C85" s="190">
        <v>1040</v>
      </c>
      <c r="D85" s="189" t="s">
        <v>1956</v>
      </c>
      <c r="E85" s="189" t="s">
        <v>1981</v>
      </c>
      <c r="F85" s="190" t="s">
        <v>1958</v>
      </c>
      <c r="G85" s="191">
        <v>10.199999999999999</v>
      </c>
      <c r="H85" s="192">
        <v>1275</v>
      </c>
      <c r="I85" s="192">
        <v>1721.25</v>
      </c>
      <c r="J85" s="192">
        <f t="shared" si="0"/>
        <v>-446.25</v>
      </c>
    </row>
    <row r="86" spans="1:10">
      <c r="A86" s="189" t="s">
        <v>1979</v>
      </c>
      <c r="B86" s="189" t="s">
        <v>1963</v>
      </c>
      <c r="C86" s="190">
        <v>1120</v>
      </c>
      <c r="D86" s="189" t="s">
        <v>1956</v>
      </c>
      <c r="E86" s="189" t="s">
        <v>1982</v>
      </c>
      <c r="F86" s="193" t="s">
        <v>1961</v>
      </c>
      <c r="G86" s="191">
        <v>12</v>
      </c>
      <c r="H86" s="192">
        <v>1500</v>
      </c>
      <c r="I86" s="192">
        <v>2025</v>
      </c>
      <c r="J86" s="192">
        <f t="shared" si="0"/>
        <v>-525</v>
      </c>
    </row>
    <row r="87" spans="1:10">
      <c r="A87" s="189" t="s">
        <v>1979</v>
      </c>
      <c r="B87" s="189" t="s">
        <v>1977</v>
      </c>
      <c r="C87" s="190">
        <v>1040</v>
      </c>
      <c r="D87" s="189" t="s">
        <v>1956</v>
      </c>
      <c r="E87" s="189" t="s">
        <v>1983</v>
      </c>
      <c r="F87" s="190" t="s">
        <v>1958</v>
      </c>
      <c r="G87" s="191">
        <v>4.5</v>
      </c>
      <c r="H87" s="192">
        <v>562.5</v>
      </c>
      <c r="I87" s="192">
        <v>556.875</v>
      </c>
      <c r="J87" s="192">
        <f t="shared" si="0"/>
        <v>5.625</v>
      </c>
    </row>
    <row r="88" spans="1:10">
      <c r="A88" s="189" t="s">
        <v>1979</v>
      </c>
      <c r="B88" s="189" t="s">
        <v>1963</v>
      </c>
      <c r="C88" s="190">
        <v>1065</v>
      </c>
      <c r="D88" s="189" t="s">
        <v>1956</v>
      </c>
      <c r="E88" s="193" t="s">
        <v>1984</v>
      </c>
      <c r="F88" s="193" t="s">
        <v>1961</v>
      </c>
      <c r="G88" s="191">
        <v>8</v>
      </c>
      <c r="H88" s="192">
        <v>1000</v>
      </c>
      <c r="I88" s="192">
        <v>1350</v>
      </c>
      <c r="J88" s="192">
        <f t="shared" si="0"/>
        <v>-350</v>
      </c>
    </row>
    <row r="89" spans="1:10">
      <c r="A89" s="189" t="s">
        <v>1979</v>
      </c>
      <c r="B89" s="189" t="s">
        <v>1963</v>
      </c>
      <c r="C89" s="190">
        <v>1040</v>
      </c>
      <c r="D89" s="189" t="s">
        <v>1956</v>
      </c>
      <c r="E89" s="189" t="s">
        <v>1985</v>
      </c>
      <c r="F89" s="190" t="s">
        <v>1958</v>
      </c>
      <c r="G89" s="191">
        <v>4</v>
      </c>
      <c r="H89" s="192">
        <v>500</v>
      </c>
      <c r="I89" s="192">
        <v>675</v>
      </c>
      <c r="J89" s="192">
        <f t="shared" si="0"/>
        <v>-175</v>
      </c>
    </row>
    <row r="90" spans="1:10">
      <c r="A90" s="189" t="s">
        <v>1979</v>
      </c>
      <c r="B90" s="189" t="s">
        <v>1977</v>
      </c>
      <c r="C90" s="190" t="s">
        <v>1978</v>
      </c>
      <c r="D90" s="189" t="s">
        <v>1956</v>
      </c>
      <c r="E90" s="189" t="s">
        <v>1985</v>
      </c>
      <c r="F90" s="190" t="s">
        <v>1958</v>
      </c>
      <c r="G90" s="191">
        <v>2.4</v>
      </c>
      <c r="H90" s="192">
        <v>300</v>
      </c>
      <c r="I90" s="192">
        <v>297</v>
      </c>
      <c r="J90" s="192">
        <f t="shared" si="0"/>
        <v>3</v>
      </c>
    </row>
    <row r="91" spans="1:10">
      <c r="A91" s="189" t="s">
        <v>1979</v>
      </c>
      <c r="B91" s="189" t="s">
        <v>1977</v>
      </c>
      <c r="C91" s="190" t="s">
        <v>1978</v>
      </c>
      <c r="D91" s="189" t="s">
        <v>1956</v>
      </c>
      <c r="E91" s="189" t="s">
        <v>1986</v>
      </c>
      <c r="F91" s="193" t="s">
        <v>1961</v>
      </c>
      <c r="G91" s="191">
        <v>8.4</v>
      </c>
      <c r="H91" s="192">
        <v>1050</v>
      </c>
      <c r="I91" s="192">
        <v>1039.5</v>
      </c>
      <c r="J91" s="192">
        <f t="shared" si="0"/>
        <v>10.5</v>
      </c>
    </row>
    <row r="92" spans="1:10">
      <c r="A92" s="189" t="s">
        <v>1979</v>
      </c>
      <c r="B92" s="189" t="s">
        <v>1963</v>
      </c>
      <c r="C92" s="190">
        <v>1120</v>
      </c>
      <c r="D92" s="189" t="s">
        <v>1956</v>
      </c>
      <c r="E92" s="189" t="s">
        <v>1986</v>
      </c>
      <c r="F92" s="193" t="s">
        <v>1961</v>
      </c>
      <c r="G92" s="191">
        <v>19</v>
      </c>
      <c r="H92" s="192">
        <v>2375</v>
      </c>
      <c r="I92" s="192">
        <v>3206.25</v>
      </c>
      <c r="J92" s="192">
        <f t="shared" si="0"/>
        <v>-831.25</v>
      </c>
    </row>
    <row r="93" spans="1:10">
      <c r="A93" s="189" t="s">
        <v>1979</v>
      </c>
      <c r="B93" s="189" t="s">
        <v>1977</v>
      </c>
      <c r="C93" s="190">
        <v>1120</v>
      </c>
      <c r="D93" s="189" t="s">
        <v>1956</v>
      </c>
      <c r="E93" s="189" t="s">
        <v>1987</v>
      </c>
      <c r="F93" s="193" t="s">
        <v>1961</v>
      </c>
      <c r="G93" s="191">
        <v>3.7</v>
      </c>
      <c r="H93" s="192">
        <v>462.5</v>
      </c>
      <c r="I93" s="192">
        <v>457.875</v>
      </c>
      <c r="J93" s="192">
        <f t="shared" si="0"/>
        <v>4.625</v>
      </c>
    </row>
    <row r="94" spans="1:10">
      <c r="A94" s="189" t="s">
        <v>1988</v>
      </c>
      <c r="B94" s="189" t="s">
        <v>1977</v>
      </c>
      <c r="C94" s="190">
        <v>1040</v>
      </c>
      <c r="D94" s="189" t="s">
        <v>1956</v>
      </c>
      <c r="E94" s="189" t="s">
        <v>1966</v>
      </c>
      <c r="F94" s="190" t="s">
        <v>1958</v>
      </c>
      <c r="G94" s="191">
        <v>17</v>
      </c>
      <c r="H94" s="192">
        <v>1700</v>
      </c>
      <c r="I94" s="192">
        <v>1683</v>
      </c>
      <c r="J94" s="192">
        <f t="shared" si="0"/>
        <v>17</v>
      </c>
    </row>
    <row r="95" spans="1:10">
      <c r="A95" s="189" t="s">
        <v>1988</v>
      </c>
      <c r="B95" s="189" t="s">
        <v>1963</v>
      </c>
      <c r="C95" s="190">
        <v>1065</v>
      </c>
      <c r="D95" s="189" t="s">
        <v>1956</v>
      </c>
      <c r="E95" s="193" t="s">
        <v>1970</v>
      </c>
      <c r="F95" s="193" t="s">
        <v>1961</v>
      </c>
      <c r="G95" s="191">
        <v>19</v>
      </c>
      <c r="H95" s="192">
        <v>1900</v>
      </c>
      <c r="I95" s="192">
        <v>2565</v>
      </c>
      <c r="J95" s="192">
        <f t="shared" si="0"/>
        <v>-665</v>
      </c>
    </row>
    <row r="96" spans="1:10">
      <c r="A96" s="189" t="s">
        <v>1988</v>
      </c>
      <c r="B96" s="189" t="s">
        <v>1977</v>
      </c>
      <c r="C96" s="190">
        <v>1040</v>
      </c>
      <c r="D96" s="189" t="s">
        <v>1956</v>
      </c>
      <c r="E96" s="189" t="s">
        <v>1972</v>
      </c>
      <c r="F96" s="190" t="s">
        <v>1958</v>
      </c>
      <c r="G96" s="191">
        <v>5.5</v>
      </c>
      <c r="H96" s="192">
        <v>550</v>
      </c>
      <c r="I96" s="192">
        <v>544.5</v>
      </c>
      <c r="J96" s="192">
        <f t="shared" si="0"/>
        <v>5.5</v>
      </c>
    </row>
    <row r="97" spans="1:10">
      <c r="A97" s="189" t="s">
        <v>1989</v>
      </c>
      <c r="B97" s="189" t="s">
        <v>1963</v>
      </c>
      <c r="C97" s="193" t="s">
        <v>1990</v>
      </c>
      <c r="D97" s="189" t="s">
        <v>1956</v>
      </c>
      <c r="E97" s="189" t="s">
        <v>1975</v>
      </c>
      <c r="F97" s="193" t="s">
        <v>1961</v>
      </c>
      <c r="G97" s="191">
        <v>3.7</v>
      </c>
      <c r="H97" s="192">
        <v>277.5</v>
      </c>
      <c r="I97" s="192">
        <v>374.625</v>
      </c>
      <c r="J97" s="192">
        <f t="shared" si="0"/>
        <v>-97.125</v>
      </c>
    </row>
    <row r="98" spans="1:10">
      <c r="A98" s="189" t="s">
        <v>1989</v>
      </c>
      <c r="B98" s="189" t="s">
        <v>1977</v>
      </c>
      <c r="C98" s="190">
        <v>1120</v>
      </c>
      <c r="D98" s="189" t="s">
        <v>1956</v>
      </c>
      <c r="E98" s="189" t="s">
        <v>1975</v>
      </c>
      <c r="F98" s="193" t="s">
        <v>1961</v>
      </c>
      <c r="G98" s="191">
        <v>8.4</v>
      </c>
      <c r="H98" s="192">
        <v>630</v>
      </c>
      <c r="I98" s="192">
        <v>623.70000000000005</v>
      </c>
      <c r="J98" s="192">
        <f t="shared" si="0"/>
        <v>6.2999999999999545</v>
      </c>
    </row>
    <row r="99" spans="1:10">
      <c r="A99" s="189" t="s">
        <v>1989</v>
      </c>
      <c r="B99" s="189" t="s">
        <v>1963</v>
      </c>
      <c r="C99" s="190">
        <v>1120</v>
      </c>
      <c r="D99" s="189" t="s">
        <v>1956</v>
      </c>
      <c r="E99" s="189" t="s">
        <v>1991</v>
      </c>
      <c r="F99" s="193" t="s">
        <v>1961</v>
      </c>
      <c r="G99" s="191">
        <v>2.6</v>
      </c>
      <c r="H99" s="192">
        <v>195</v>
      </c>
      <c r="I99" s="192">
        <v>263.25</v>
      </c>
      <c r="J99" s="192">
        <f t="shared" si="0"/>
        <v>-68.25</v>
      </c>
    </row>
    <row r="100" spans="1:10">
      <c r="A100" s="189" t="s">
        <v>1989</v>
      </c>
      <c r="B100" s="189" t="s">
        <v>1977</v>
      </c>
      <c r="C100" s="190" t="s">
        <v>1978</v>
      </c>
      <c r="D100" s="189" t="s">
        <v>1956</v>
      </c>
      <c r="E100" s="189" t="s">
        <v>1991</v>
      </c>
      <c r="F100" s="193" t="s">
        <v>1961</v>
      </c>
      <c r="G100" s="191">
        <v>12.9</v>
      </c>
      <c r="H100" s="192">
        <v>967.5</v>
      </c>
      <c r="I100" s="192">
        <v>957.82500000000005</v>
      </c>
      <c r="J100" s="192">
        <f t="shared" si="0"/>
        <v>9.6749999999999545</v>
      </c>
    </row>
    <row r="101" spans="1:10">
      <c r="A101" s="189" t="s">
        <v>1989</v>
      </c>
      <c r="B101" s="189" t="s">
        <v>1977</v>
      </c>
      <c r="C101" s="190">
        <v>1040</v>
      </c>
      <c r="D101" s="189" t="s">
        <v>1956</v>
      </c>
      <c r="E101" s="189" t="s">
        <v>1957</v>
      </c>
      <c r="F101" s="190" t="s">
        <v>1958</v>
      </c>
      <c r="G101" s="191">
        <v>10.199999999999999</v>
      </c>
      <c r="H101" s="192">
        <v>765</v>
      </c>
      <c r="I101" s="192">
        <v>757.35</v>
      </c>
      <c r="J101" s="192">
        <f t="shared" si="0"/>
        <v>7.6499999999999773</v>
      </c>
    </row>
    <row r="102" spans="1:10">
      <c r="A102" s="189" t="s">
        <v>1989</v>
      </c>
      <c r="B102" s="189" t="s">
        <v>1977</v>
      </c>
      <c r="C102" s="190">
        <v>1120</v>
      </c>
      <c r="D102" s="189" t="s">
        <v>1956</v>
      </c>
      <c r="E102" s="189" t="s">
        <v>1960</v>
      </c>
      <c r="F102" s="193" t="s">
        <v>1961</v>
      </c>
      <c r="G102" s="191">
        <v>16</v>
      </c>
      <c r="H102" s="192">
        <v>1200</v>
      </c>
      <c r="I102" s="192">
        <v>1188</v>
      </c>
      <c r="J102" s="192">
        <f t="shared" si="0"/>
        <v>12</v>
      </c>
    </row>
    <row r="103" spans="1:10">
      <c r="A103" s="189" t="s">
        <v>1989</v>
      </c>
      <c r="B103" s="189" t="s">
        <v>1963</v>
      </c>
      <c r="C103" s="190">
        <v>1040</v>
      </c>
      <c r="D103" s="189" t="s">
        <v>1956</v>
      </c>
      <c r="E103" s="189" t="s">
        <v>1968</v>
      </c>
      <c r="F103" s="190" t="s">
        <v>1958</v>
      </c>
      <c r="G103" s="191">
        <v>9</v>
      </c>
      <c r="H103" s="192">
        <v>675</v>
      </c>
      <c r="I103" s="192">
        <v>911.25</v>
      </c>
      <c r="J103" s="192">
        <f t="shared" si="0"/>
        <v>-236.25</v>
      </c>
    </row>
    <row r="104" spans="1:10">
      <c r="A104" s="189" t="s">
        <v>1989</v>
      </c>
      <c r="B104" s="189" t="s">
        <v>1977</v>
      </c>
      <c r="C104" s="190">
        <v>1040</v>
      </c>
      <c r="D104" s="189" t="s">
        <v>1956</v>
      </c>
      <c r="E104" s="189" t="s">
        <v>1968</v>
      </c>
      <c r="F104" s="190" t="s">
        <v>1958</v>
      </c>
      <c r="G104" s="191">
        <v>2.9</v>
      </c>
      <c r="H104" s="192">
        <v>217.5</v>
      </c>
      <c r="I104" s="192">
        <v>215.32499999999999</v>
      </c>
      <c r="J104" s="192">
        <f t="shared" si="0"/>
        <v>2.1750000000000114</v>
      </c>
    </row>
    <row r="105" spans="1:10">
      <c r="A105" s="189" t="s">
        <v>1567</v>
      </c>
      <c r="B105" s="189" t="s">
        <v>1959</v>
      </c>
      <c r="C105" s="190">
        <v>1065</v>
      </c>
      <c r="D105" s="189" t="s">
        <v>1956</v>
      </c>
      <c r="E105" s="189" t="s">
        <v>1991</v>
      </c>
      <c r="F105" s="193" t="s">
        <v>1961</v>
      </c>
      <c r="G105" s="191">
        <v>2.9</v>
      </c>
      <c r="H105" s="192">
        <v>217.5</v>
      </c>
      <c r="I105" s="192">
        <v>243.6</v>
      </c>
      <c r="J105" s="192">
        <f t="shared" si="0"/>
        <v>-26.099999999999994</v>
      </c>
    </row>
    <row r="106" spans="1:10">
      <c r="A106" s="189" t="s">
        <v>943</v>
      </c>
      <c r="B106" s="189" t="s">
        <v>1959</v>
      </c>
      <c r="C106" s="190">
        <v>1040</v>
      </c>
      <c r="D106" s="189" t="s">
        <v>1956</v>
      </c>
      <c r="E106" s="189" t="s">
        <v>1980</v>
      </c>
      <c r="F106" s="190" t="s">
        <v>1958</v>
      </c>
      <c r="G106" s="191">
        <v>5.5</v>
      </c>
      <c r="H106" s="192">
        <v>687.5</v>
      </c>
      <c r="I106" s="192">
        <v>770</v>
      </c>
      <c r="J106" s="192">
        <f t="shared" si="0"/>
        <v>-82.5</v>
      </c>
    </row>
    <row r="107" spans="1:10">
      <c r="A107" s="189" t="s">
        <v>943</v>
      </c>
      <c r="B107" s="189" t="s">
        <v>1955</v>
      </c>
      <c r="C107" s="190">
        <v>1040</v>
      </c>
      <c r="D107" s="189" t="s">
        <v>1956</v>
      </c>
      <c r="E107" s="189" t="s">
        <v>1981</v>
      </c>
      <c r="F107" s="190" t="s">
        <v>1958</v>
      </c>
      <c r="G107" s="191">
        <v>8.4</v>
      </c>
      <c r="H107" s="192">
        <v>1050</v>
      </c>
      <c r="I107" s="192">
        <v>966</v>
      </c>
      <c r="J107" s="192">
        <f t="shared" si="0"/>
        <v>84</v>
      </c>
    </row>
    <row r="108" spans="1:10">
      <c r="A108" s="189" t="s">
        <v>943</v>
      </c>
      <c r="B108" s="189" t="s">
        <v>1955</v>
      </c>
      <c r="C108" s="190">
        <v>1120</v>
      </c>
      <c r="D108" s="189" t="s">
        <v>1956</v>
      </c>
      <c r="E108" s="189" t="s">
        <v>1982</v>
      </c>
      <c r="F108" s="193" t="s">
        <v>1961</v>
      </c>
      <c r="G108" s="191">
        <v>32</v>
      </c>
      <c r="H108" s="192">
        <v>4000</v>
      </c>
      <c r="I108" s="192">
        <v>3680</v>
      </c>
      <c r="J108" s="192">
        <f t="shared" si="0"/>
        <v>320</v>
      </c>
    </row>
    <row r="109" spans="1:10">
      <c r="A109" s="189" t="s">
        <v>943</v>
      </c>
      <c r="B109" s="189" t="s">
        <v>1959</v>
      </c>
      <c r="C109" s="190">
        <v>1120</v>
      </c>
      <c r="D109" s="189" t="s">
        <v>1956</v>
      </c>
      <c r="E109" s="189" t="s">
        <v>1982</v>
      </c>
      <c r="F109" s="193" t="s">
        <v>1961</v>
      </c>
      <c r="G109" s="191">
        <v>14</v>
      </c>
      <c r="H109" s="192">
        <v>1750</v>
      </c>
      <c r="I109" s="192">
        <v>1960</v>
      </c>
      <c r="J109" s="192">
        <f t="shared" si="0"/>
        <v>-210</v>
      </c>
    </row>
    <row r="110" spans="1:10">
      <c r="A110" s="189" t="s">
        <v>943</v>
      </c>
      <c r="B110" s="189" t="s">
        <v>1959</v>
      </c>
      <c r="C110" s="190">
        <v>1040</v>
      </c>
      <c r="D110" s="189" t="s">
        <v>1956</v>
      </c>
      <c r="E110" s="189" t="s">
        <v>1983</v>
      </c>
      <c r="F110" s="190" t="s">
        <v>1958</v>
      </c>
      <c r="G110" s="191">
        <v>6</v>
      </c>
      <c r="H110" s="192">
        <v>750</v>
      </c>
      <c r="I110" s="192">
        <v>840</v>
      </c>
      <c r="J110" s="192">
        <f t="shared" si="0"/>
        <v>-90</v>
      </c>
    </row>
    <row r="111" spans="1:10">
      <c r="A111" s="189" t="s">
        <v>943</v>
      </c>
      <c r="B111" s="189" t="s">
        <v>1955</v>
      </c>
      <c r="C111" s="190">
        <v>1040</v>
      </c>
      <c r="D111" s="189" t="s">
        <v>1956</v>
      </c>
      <c r="E111" s="189" t="s">
        <v>1983</v>
      </c>
      <c r="F111" s="190" t="s">
        <v>1958</v>
      </c>
      <c r="G111" s="191">
        <v>3.7</v>
      </c>
      <c r="H111" s="192">
        <v>462.5</v>
      </c>
      <c r="I111" s="192">
        <v>425.5</v>
      </c>
      <c r="J111" s="192">
        <f t="shared" si="0"/>
        <v>37</v>
      </c>
    </row>
    <row r="112" spans="1:10">
      <c r="A112" s="189" t="s">
        <v>943</v>
      </c>
      <c r="B112" s="189" t="s">
        <v>1955</v>
      </c>
      <c r="C112" s="190">
        <v>1120</v>
      </c>
      <c r="D112" s="189" t="s">
        <v>1956</v>
      </c>
      <c r="E112" s="193" t="s">
        <v>1984</v>
      </c>
      <c r="F112" s="193" t="s">
        <v>1961</v>
      </c>
      <c r="G112" s="191">
        <v>17</v>
      </c>
      <c r="H112" s="192">
        <v>2125</v>
      </c>
      <c r="I112" s="192">
        <v>1955</v>
      </c>
      <c r="J112" s="192">
        <f t="shared" si="0"/>
        <v>170</v>
      </c>
    </row>
    <row r="113" spans="1:10">
      <c r="A113" s="189" t="s">
        <v>943</v>
      </c>
      <c r="B113" s="189" t="s">
        <v>1959</v>
      </c>
      <c r="C113" s="190">
        <v>1120</v>
      </c>
      <c r="D113" s="189" t="s">
        <v>1956</v>
      </c>
      <c r="E113" s="193" t="s">
        <v>1984</v>
      </c>
      <c r="F113" s="193" t="s">
        <v>1961</v>
      </c>
      <c r="G113" s="191">
        <v>4</v>
      </c>
      <c r="H113" s="192">
        <v>500</v>
      </c>
      <c r="I113" s="192">
        <v>560</v>
      </c>
      <c r="J113" s="192">
        <f t="shared" si="0"/>
        <v>-60</v>
      </c>
    </row>
    <row r="114" spans="1:10">
      <c r="A114" s="189" t="s">
        <v>943</v>
      </c>
      <c r="B114" s="189" t="s">
        <v>1959</v>
      </c>
      <c r="C114" s="190">
        <v>1040</v>
      </c>
      <c r="D114" s="189" t="s">
        <v>1956</v>
      </c>
      <c r="E114" s="189" t="s">
        <v>1985</v>
      </c>
      <c r="F114" s="190" t="s">
        <v>1958</v>
      </c>
      <c r="G114" s="191">
        <v>6</v>
      </c>
      <c r="H114" s="192">
        <v>750</v>
      </c>
      <c r="I114" s="192">
        <v>840</v>
      </c>
      <c r="J114" s="192">
        <f t="shared" si="0"/>
        <v>-90</v>
      </c>
    </row>
    <row r="115" spans="1:10">
      <c r="A115" s="189" t="s">
        <v>943</v>
      </c>
      <c r="B115" s="189" t="s">
        <v>1955</v>
      </c>
      <c r="C115" s="190">
        <v>1120</v>
      </c>
      <c r="D115" s="189" t="s">
        <v>1956</v>
      </c>
      <c r="E115" s="189" t="s">
        <v>1986</v>
      </c>
      <c r="F115" s="193" t="s">
        <v>1961</v>
      </c>
      <c r="G115" s="191">
        <v>10.199999999999999</v>
      </c>
      <c r="H115" s="192">
        <v>1275</v>
      </c>
      <c r="I115" s="192">
        <v>1173</v>
      </c>
      <c r="J115" s="192">
        <f t="shared" si="0"/>
        <v>102</v>
      </c>
    </row>
    <row r="116" spans="1:10">
      <c r="A116" s="189" t="s">
        <v>943</v>
      </c>
      <c r="B116" s="189" t="s">
        <v>1959</v>
      </c>
      <c r="C116" s="190" t="s">
        <v>1964</v>
      </c>
      <c r="D116" s="189" t="s">
        <v>1956</v>
      </c>
      <c r="E116" s="189" t="s">
        <v>1987</v>
      </c>
      <c r="F116" s="193" t="s">
        <v>1961</v>
      </c>
      <c r="G116" s="191">
        <v>4.5</v>
      </c>
      <c r="H116" s="192">
        <v>562.5</v>
      </c>
      <c r="I116" s="192">
        <v>630</v>
      </c>
      <c r="J116" s="192">
        <f t="shared" si="0"/>
        <v>-67.5</v>
      </c>
    </row>
    <row r="117" spans="1:10">
      <c r="A117" s="189" t="s">
        <v>943</v>
      </c>
      <c r="B117" s="189" t="s">
        <v>1955</v>
      </c>
      <c r="C117" s="190">
        <v>1120</v>
      </c>
      <c r="D117" s="189" t="s">
        <v>1956</v>
      </c>
      <c r="E117" s="189" t="s">
        <v>1987</v>
      </c>
      <c r="F117" s="193" t="s">
        <v>1961</v>
      </c>
      <c r="G117" s="191">
        <v>2</v>
      </c>
      <c r="H117" s="192">
        <v>250</v>
      </c>
      <c r="I117" s="192">
        <v>230</v>
      </c>
      <c r="J117" s="192">
        <f t="shared" si="0"/>
        <v>20</v>
      </c>
    </row>
    <row r="118" spans="1:10">
      <c r="A118" s="189" t="s">
        <v>1797</v>
      </c>
      <c r="B118" s="189" t="s">
        <v>1963</v>
      </c>
      <c r="C118" s="190">
        <v>1040</v>
      </c>
      <c r="D118" s="189" t="s">
        <v>1956</v>
      </c>
      <c r="E118" s="189" t="s">
        <v>1971</v>
      </c>
      <c r="F118" s="190" t="s">
        <v>1958</v>
      </c>
      <c r="G118" s="191">
        <v>22</v>
      </c>
      <c r="H118" s="192">
        <v>2200</v>
      </c>
      <c r="I118" s="192">
        <v>2970</v>
      </c>
      <c r="J118" s="192">
        <f t="shared" si="0"/>
        <v>-770</v>
      </c>
    </row>
    <row r="119" spans="1:10">
      <c r="A119" s="189" t="s">
        <v>1797</v>
      </c>
      <c r="B119" s="189" t="s">
        <v>1977</v>
      </c>
      <c r="C119" s="190">
        <v>1040</v>
      </c>
      <c r="D119" s="189" t="s">
        <v>1956</v>
      </c>
      <c r="E119" s="189" t="s">
        <v>1974</v>
      </c>
      <c r="F119" s="190" t="s">
        <v>1958</v>
      </c>
      <c r="G119" s="191">
        <v>4</v>
      </c>
      <c r="H119" s="192">
        <v>400</v>
      </c>
      <c r="I119" s="192">
        <v>396</v>
      </c>
      <c r="J119" s="192">
        <f t="shared" si="0"/>
        <v>4</v>
      </c>
    </row>
    <row r="120" spans="1:10">
      <c r="A120" s="189" t="s">
        <v>1801</v>
      </c>
      <c r="B120" s="189" t="s">
        <v>1955</v>
      </c>
      <c r="C120" s="190">
        <v>1040</v>
      </c>
      <c r="D120" s="189" t="s">
        <v>1992</v>
      </c>
      <c r="E120" s="189" t="s">
        <v>1993</v>
      </c>
      <c r="F120" s="190" t="s">
        <v>1958</v>
      </c>
      <c r="G120" s="191">
        <v>6</v>
      </c>
      <c r="H120" s="192">
        <v>450</v>
      </c>
      <c r="I120" s="192">
        <v>414</v>
      </c>
      <c r="J120" s="192">
        <f t="shared" si="0"/>
        <v>36</v>
      </c>
    </row>
    <row r="121" spans="1:10">
      <c r="A121" s="189" t="s">
        <v>1801</v>
      </c>
      <c r="B121" s="189" t="s">
        <v>1959</v>
      </c>
      <c r="C121" s="190">
        <v>1040</v>
      </c>
      <c r="D121" s="189" t="s">
        <v>1992</v>
      </c>
      <c r="E121" s="189" t="s">
        <v>1994</v>
      </c>
      <c r="F121" s="190" t="s">
        <v>1958</v>
      </c>
      <c r="G121" s="191">
        <v>5</v>
      </c>
      <c r="H121" s="192">
        <v>375</v>
      </c>
      <c r="I121" s="192">
        <v>420</v>
      </c>
      <c r="J121" s="192">
        <f t="shared" si="0"/>
        <v>-45</v>
      </c>
    </row>
    <row r="122" spans="1:10">
      <c r="A122" s="189" t="s">
        <v>1801</v>
      </c>
      <c r="B122" s="189" t="s">
        <v>1955</v>
      </c>
      <c r="C122" s="190">
        <v>1120</v>
      </c>
      <c r="D122" s="189" t="s">
        <v>1992</v>
      </c>
      <c r="E122" s="189" t="s">
        <v>1995</v>
      </c>
      <c r="F122" s="193" t="s">
        <v>1961</v>
      </c>
      <c r="G122" s="191">
        <v>17</v>
      </c>
      <c r="H122" s="192">
        <v>1275</v>
      </c>
      <c r="I122" s="192">
        <v>1173</v>
      </c>
      <c r="J122" s="192">
        <f t="shared" si="0"/>
        <v>102</v>
      </c>
    </row>
    <row r="123" spans="1:10">
      <c r="A123" s="189" t="s">
        <v>1962</v>
      </c>
      <c r="B123" s="189" t="s">
        <v>1963</v>
      </c>
      <c r="C123" s="190">
        <v>1120</v>
      </c>
      <c r="D123" s="189" t="s">
        <v>1992</v>
      </c>
      <c r="E123" s="189" t="s">
        <v>1996</v>
      </c>
      <c r="F123" s="193" t="s">
        <v>1961</v>
      </c>
      <c r="G123" s="191">
        <v>2.6</v>
      </c>
      <c r="H123" s="192">
        <v>260</v>
      </c>
      <c r="I123" s="192">
        <v>351</v>
      </c>
      <c r="J123" s="192">
        <f t="shared" si="0"/>
        <v>-91</v>
      </c>
    </row>
    <row r="124" spans="1:10">
      <c r="A124" s="189" t="s">
        <v>1962</v>
      </c>
      <c r="B124" s="189" t="s">
        <v>1977</v>
      </c>
      <c r="C124" s="190">
        <v>1120</v>
      </c>
      <c r="D124" s="189" t="s">
        <v>1992</v>
      </c>
      <c r="E124" s="189" t="s">
        <v>1997</v>
      </c>
      <c r="F124" s="193" t="s">
        <v>1961</v>
      </c>
      <c r="G124" s="191">
        <v>6</v>
      </c>
      <c r="H124" s="192">
        <v>600</v>
      </c>
      <c r="I124" s="192">
        <v>594</v>
      </c>
      <c r="J124" s="192">
        <f t="shared" si="0"/>
        <v>6</v>
      </c>
    </row>
    <row r="125" spans="1:10">
      <c r="A125" s="189" t="s">
        <v>1967</v>
      </c>
      <c r="B125" s="189" t="s">
        <v>1959</v>
      </c>
      <c r="C125" s="190">
        <v>1040</v>
      </c>
      <c r="D125" s="189" t="s">
        <v>1992</v>
      </c>
      <c r="E125" s="189" t="s">
        <v>1993</v>
      </c>
      <c r="F125" s="190" t="s">
        <v>1958</v>
      </c>
      <c r="G125" s="191">
        <v>3.5</v>
      </c>
      <c r="H125" s="192">
        <v>262.5</v>
      </c>
      <c r="I125" s="192">
        <v>294</v>
      </c>
      <c r="J125" s="192">
        <f t="shared" si="0"/>
        <v>-31.5</v>
      </c>
    </row>
    <row r="126" spans="1:10">
      <c r="A126" s="189" t="s">
        <v>1969</v>
      </c>
      <c r="B126" s="189" t="s">
        <v>1955</v>
      </c>
      <c r="C126" s="190" t="s">
        <v>1964</v>
      </c>
      <c r="D126" s="189" t="s">
        <v>1992</v>
      </c>
      <c r="E126" s="189" t="s">
        <v>1998</v>
      </c>
      <c r="F126" s="190" t="s">
        <v>1958</v>
      </c>
      <c r="G126" s="191">
        <v>5</v>
      </c>
      <c r="H126" s="192">
        <v>500</v>
      </c>
      <c r="I126" s="192">
        <v>460</v>
      </c>
      <c r="J126" s="192">
        <f t="shared" si="0"/>
        <v>40</v>
      </c>
    </row>
    <row r="127" spans="1:10">
      <c r="A127" s="189" t="s">
        <v>1969</v>
      </c>
      <c r="B127" s="189" t="s">
        <v>1959</v>
      </c>
      <c r="C127" s="190" t="s">
        <v>1978</v>
      </c>
      <c r="D127" s="189" t="s">
        <v>1992</v>
      </c>
      <c r="E127" s="189" t="s">
        <v>1999</v>
      </c>
      <c r="F127" s="193" t="s">
        <v>1961</v>
      </c>
      <c r="G127" s="191">
        <v>4</v>
      </c>
      <c r="H127" s="192">
        <v>400</v>
      </c>
      <c r="I127" s="192">
        <v>448</v>
      </c>
      <c r="J127" s="192">
        <f t="shared" ref="J127:J190" si="1">H127-I127</f>
        <v>-48</v>
      </c>
    </row>
    <row r="128" spans="1:10">
      <c r="A128" s="189" t="s">
        <v>1969</v>
      </c>
      <c r="B128" s="189" t="s">
        <v>1955</v>
      </c>
      <c r="C128" s="190">
        <v>1120</v>
      </c>
      <c r="D128" s="189" t="s">
        <v>1992</v>
      </c>
      <c r="E128" s="189" t="s">
        <v>1999</v>
      </c>
      <c r="F128" s="193" t="s">
        <v>1961</v>
      </c>
      <c r="G128" s="191">
        <v>2.4</v>
      </c>
      <c r="H128" s="192">
        <v>240</v>
      </c>
      <c r="I128" s="192">
        <v>220.8</v>
      </c>
      <c r="J128" s="192">
        <f t="shared" si="1"/>
        <v>19.199999999999989</v>
      </c>
    </row>
    <row r="129" spans="1:10">
      <c r="A129" s="189" t="s">
        <v>1969</v>
      </c>
      <c r="B129" s="189" t="s">
        <v>1955</v>
      </c>
      <c r="C129" s="190">
        <v>1065</v>
      </c>
      <c r="D129" s="189" t="s">
        <v>1992</v>
      </c>
      <c r="E129" s="189" t="s">
        <v>2000</v>
      </c>
      <c r="F129" s="193" t="s">
        <v>1961</v>
      </c>
      <c r="G129" s="191">
        <v>4.5</v>
      </c>
      <c r="H129" s="192">
        <v>450</v>
      </c>
      <c r="I129" s="192">
        <v>414</v>
      </c>
      <c r="J129" s="192">
        <f t="shared" si="1"/>
        <v>36</v>
      </c>
    </row>
    <row r="130" spans="1:10">
      <c r="A130" s="189" t="s">
        <v>1969</v>
      </c>
      <c r="B130" s="189" t="s">
        <v>1955</v>
      </c>
      <c r="C130" s="190">
        <v>1120</v>
      </c>
      <c r="D130" s="189" t="s">
        <v>1992</v>
      </c>
      <c r="E130" s="189" t="s">
        <v>1996</v>
      </c>
      <c r="F130" s="193" t="s">
        <v>1961</v>
      </c>
      <c r="G130" s="191">
        <v>9</v>
      </c>
      <c r="H130" s="192">
        <v>900</v>
      </c>
      <c r="I130" s="192">
        <v>828</v>
      </c>
      <c r="J130" s="192">
        <f t="shared" si="1"/>
        <v>72</v>
      </c>
    </row>
    <row r="131" spans="1:10">
      <c r="A131" s="189" t="s">
        <v>1969</v>
      </c>
      <c r="B131" s="189" t="s">
        <v>1955</v>
      </c>
      <c r="C131" s="190">
        <v>1040</v>
      </c>
      <c r="D131" s="189" t="s">
        <v>1992</v>
      </c>
      <c r="E131" s="189" t="s">
        <v>2001</v>
      </c>
      <c r="F131" s="190" t="s">
        <v>1958</v>
      </c>
      <c r="G131" s="191">
        <v>2.6</v>
      </c>
      <c r="H131" s="192">
        <v>260</v>
      </c>
      <c r="I131" s="192">
        <v>239.2</v>
      </c>
      <c r="J131" s="192">
        <f t="shared" si="1"/>
        <v>20.800000000000011</v>
      </c>
    </row>
    <row r="132" spans="1:10">
      <c r="A132" s="189" t="s">
        <v>1969</v>
      </c>
      <c r="B132" s="189" t="s">
        <v>1959</v>
      </c>
      <c r="C132" s="190" t="s">
        <v>1964</v>
      </c>
      <c r="D132" s="189" t="s">
        <v>1992</v>
      </c>
      <c r="E132" s="189" t="s">
        <v>2001</v>
      </c>
      <c r="F132" s="190" t="s">
        <v>1958</v>
      </c>
      <c r="G132" s="191">
        <v>12.9</v>
      </c>
      <c r="H132" s="192">
        <v>1290</v>
      </c>
      <c r="I132" s="192">
        <v>1444.8</v>
      </c>
      <c r="J132" s="192">
        <f t="shared" si="1"/>
        <v>-154.79999999999995</v>
      </c>
    </row>
    <row r="133" spans="1:10">
      <c r="A133" s="189" t="s">
        <v>1969</v>
      </c>
      <c r="B133" s="189" t="s">
        <v>1959</v>
      </c>
      <c r="C133" s="190">
        <v>1120</v>
      </c>
      <c r="D133" s="189" t="s">
        <v>1992</v>
      </c>
      <c r="E133" s="189" t="s">
        <v>1997</v>
      </c>
      <c r="F133" s="193" t="s">
        <v>1961</v>
      </c>
      <c r="G133" s="191">
        <v>14</v>
      </c>
      <c r="H133" s="192">
        <v>1400</v>
      </c>
      <c r="I133" s="192">
        <v>1568</v>
      </c>
      <c r="J133" s="192">
        <f t="shared" si="1"/>
        <v>-168</v>
      </c>
    </row>
    <row r="134" spans="1:10">
      <c r="A134" s="189" t="s">
        <v>1969</v>
      </c>
      <c r="B134" s="189" t="s">
        <v>1955</v>
      </c>
      <c r="C134" s="190">
        <v>1120</v>
      </c>
      <c r="D134" s="189" t="s">
        <v>1992</v>
      </c>
      <c r="E134" s="189" t="s">
        <v>1997</v>
      </c>
      <c r="F134" s="193" t="s">
        <v>1961</v>
      </c>
      <c r="G134" s="191">
        <v>5.5</v>
      </c>
      <c r="H134" s="192">
        <v>550</v>
      </c>
      <c r="I134" s="192">
        <v>506</v>
      </c>
      <c r="J134" s="192">
        <f t="shared" si="1"/>
        <v>44</v>
      </c>
    </row>
    <row r="135" spans="1:10">
      <c r="A135" s="189" t="s">
        <v>1969</v>
      </c>
      <c r="B135" s="189" t="s">
        <v>1959</v>
      </c>
      <c r="C135" s="190">
        <v>1120</v>
      </c>
      <c r="D135" s="189" t="s">
        <v>1992</v>
      </c>
      <c r="E135" s="189" t="s">
        <v>2002</v>
      </c>
      <c r="F135" s="193" t="s">
        <v>1961</v>
      </c>
      <c r="G135" s="191">
        <v>32</v>
      </c>
      <c r="H135" s="192">
        <v>3200</v>
      </c>
      <c r="I135" s="192">
        <v>3584</v>
      </c>
      <c r="J135" s="192">
        <f t="shared" si="1"/>
        <v>-384</v>
      </c>
    </row>
    <row r="136" spans="1:10">
      <c r="A136" s="189" t="s">
        <v>1976</v>
      </c>
      <c r="B136" s="189" t="s">
        <v>1977</v>
      </c>
      <c r="C136" s="190">
        <v>1040</v>
      </c>
      <c r="D136" s="189" t="s">
        <v>1992</v>
      </c>
      <c r="E136" s="189" t="s">
        <v>1998</v>
      </c>
      <c r="F136" s="190" t="s">
        <v>1958</v>
      </c>
      <c r="G136" s="191">
        <v>2.4</v>
      </c>
      <c r="H136" s="192">
        <v>240</v>
      </c>
      <c r="I136" s="192">
        <v>237.6</v>
      </c>
      <c r="J136" s="192">
        <f t="shared" si="1"/>
        <v>2.4000000000000057</v>
      </c>
    </row>
    <row r="137" spans="1:10">
      <c r="A137" s="189" t="s">
        <v>1976</v>
      </c>
      <c r="B137" s="189" t="s">
        <v>1977</v>
      </c>
      <c r="C137" s="190">
        <v>1120</v>
      </c>
      <c r="D137" s="189" t="s">
        <v>1992</v>
      </c>
      <c r="E137" s="189" t="s">
        <v>2002</v>
      </c>
      <c r="F137" s="193" t="s">
        <v>1961</v>
      </c>
      <c r="G137" s="191">
        <v>12</v>
      </c>
      <c r="H137" s="192">
        <v>1200</v>
      </c>
      <c r="I137" s="192">
        <v>1188</v>
      </c>
      <c r="J137" s="192">
        <f t="shared" si="1"/>
        <v>12</v>
      </c>
    </row>
    <row r="138" spans="1:10">
      <c r="A138" s="189" t="s">
        <v>1878</v>
      </c>
      <c r="B138" s="189" t="s">
        <v>1977</v>
      </c>
      <c r="C138" s="190" t="s">
        <v>1964</v>
      </c>
      <c r="D138" s="189" t="s">
        <v>1992</v>
      </c>
      <c r="E138" s="189" t="s">
        <v>1999</v>
      </c>
      <c r="F138" s="193" t="s">
        <v>1961</v>
      </c>
      <c r="G138" s="191">
        <v>6</v>
      </c>
      <c r="H138" s="192">
        <v>600</v>
      </c>
      <c r="I138" s="192">
        <v>594</v>
      </c>
      <c r="J138" s="192">
        <f t="shared" si="1"/>
        <v>6</v>
      </c>
    </row>
    <row r="139" spans="1:10">
      <c r="A139" s="189" t="s">
        <v>1878</v>
      </c>
      <c r="B139" s="189" t="s">
        <v>1963</v>
      </c>
      <c r="C139" s="190">
        <v>1120</v>
      </c>
      <c r="D139" s="189" t="s">
        <v>1992</v>
      </c>
      <c r="E139" s="189" t="s">
        <v>2000</v>
      </c>
      <c r="F139" s="193" t="s">
        <v>1961</v>
      </c>
      <c r="G139" s="191">
        <v>3.7</v>
      </c>
      <c r="H139" s="192">
        <v>370</v>
      </c>
      <c r="I139" s="192">
        <v>499.5</v>
      </c>
      <c r="J139" s="192">
        <f t="shared" si="1"/>
        <v>-129.5</v>
      </c>
    </row>
    <row r="140" spans="1:10">
      <c r="A140" s="189" t="s">
        <v>1878</v>
      </c>
      <c r="B140" s="189" t="s">
        <v>1963</v>
      </c>
      <c r="C140" s="190">
        <v>1065</v>
      </c>
      <c r="D140" s="189" t="s">
        <v>1992</v>
      </c>
      <c r="E140" s="189" t="s">
        <v>2002</v>
      </c>
      <c r="F140" s="193" t="s">
        <v>1961</v>
      </c>
      <c r="G140" s="191">
        <v>16</v>
      </c>
      <c r="H140" s="192">
        <v>1600</v>
      </c>
      <c r="I140" s="192">
        <v>2160</v>
      </c>
      <c r="J140" s="192">
        <f t="shared" si="1"/>
        <v>-560</v>
      </c>
    </row>
    <row r="141" spans="1:10">
      <c r="A141" s="189" t="s">
        <v>2003</v>
      </c>
      <c r="B141" s="189" t="s">
        <v>1963</v>
      </c>
      <c r="C141" s="190">
        <v>1040</v>
      </c>
      <c r="D141" s="189" t="s">
        <v>1992</v>
      </c>
      <c r="E141" s="189" t="s">
        <v>1998</v>
      </c>
      <c r="F141" s="190" t="s">
        <v>1958</v>
      </c>
      <c r="G141" s="191">
        <v>9</v>
      </c>
      <c r="H141" s="192">
        <v>900</v>
      </c>
      <c r="I141" s="192">
        <v>1215</v>
      </c>
      <c r="J141" s="192">
        <f t="shared" si="1"/>
        <v>-315</v>
      </c>
    </row>
    <row r="142" spans="1:10">
      <c r="A142" s="189" t="s">
        <v>2003</v>
      </c>
      <c r="B142" s="189" t="s">
        <v>1977</v>
      </c>
      <c r="C142" s="190">
        <v>1120</v>
      </c>
      <c r="D142" s="189" t="s">
        <v>1992</v>
      </c>
      <c r="E142" s="189" t="s">
        <v>1996</v>
      </c>
      <c r="F142" s="193" t="s">
        <v>1961</v>
      </c>
      <c r="G142" s="191">
        <v>5</v>
      </c>
      <c r="H142" s="192">
        <v>500</v>
      </c>
      <c r="I142" s="192">
        <v>495</v>
      </c>
      <c r="J142" s="192">
        <f t="shared" si="1"/>
        <v>5</v>
      </c>
    </row>
    <row r="143" spans="1:10">
      <c r="A143" s="189" t="s">
        <v>1979</v>
      </c>
      <c r="B143" s="189" t="s">
        <v>1963</v>
      </c>
      <c r="C143" s="190">
        <v>1120</v>
      </c>
      <c r="D143" s="189" t="s">
        <v>1992</v>
      </c>
      <c r="E143" s="189" t="s">
        <v>2004</v>
      </c>
      <c r="F143" s="193" t="s">
        <v>1961</v>
      </c>
      <c r="G143" s="191">
        <v>6</v>
      </c>
      <c r="H143" s="192">
        <v>750</v>
      </c>
      <c r="I143" s="192">
        <v>1012.5</v>
      </c>
      <c r="J143" s="192">
        <f t="shared" si="1"/>
        <v>-262.5</v>
      </c>
    </row>
    <row r="144" spans="1:10">
      <c r="A144" s="189" t="s">
        <v>1979</v>
      </c>
      <c r="B144" s="189" t="s">
        <v>1977</v>
      </c>
      <c r="C144" s="190" t="s">
        <v>1964</v>
      </c>
      <c r="D144" s="189" t="s">
        <v>1992</v>
      </c>
      <c r="E144" s="189" t="s">
        <v>2004</v>
      </c>
      <c r="F144" s="193" t="s">
        <v>1961</v>
      </c>
      <c r="G144" s="191">
        <v>5</v>
      </c>
      <c r="H144" s="192">
        <v>625</v>
      </c>
      <c r="I144" s="192">
        <v>618.75</v>
      </c>
      <c r="J144" s="192">
        <f t="shared" si="1"/>
        <v>6.25</v>
      </c>
    </row>
    <row r="145" spans="1:10">
      <c r="A145" s="189" t="s">
        <v>1979</v>
      </c>
      <c r="B145" s="189" t="s">
        <v>1963</v>
      </c>
      <c r="C145" s="190">
        <v>1040</v>
      </c>
      <c r="D145" s="189" t="s">
        <v>1992</v>
      </c>
      <c r="E145" s="189" t="s">
        <v>2005</v>
      </c>
      <c r="F145" s="190" t="s">
        <v>1958</v>
      </c>
      <c r="G145" s="191">
        <v>17</v>
      </c>
      <c r="H145" s="192">
        <v>2125</v>
      </c>
      <c r="I145" s="192">
        <v>2868.75</v>
      </c>
      <c r="J145" s="192">
        <f t="shared" si="1"/>
        <v>-743.75</v>
      </c>
    </row>
    <row r="146" spans="1:10">
      <c r="A146" s="189" t="s">
        <v>1979</v>
      </c>
      <c r="B146" s="189" t="s">
        <v>1977</v>
      </c>
      <c r="C146" s="190">
        <v>1120</v>
      </c>
      <c r="D146" s="189" t="s">
        <v>1992</v>
      </c>
      <c r="E146" s="189" t="s">
        <v>2006</v>
      </c>
      <c r="F146" s="193" t="s">
        <v>1961</v>
      </c>
      <c r="G146" s="191">
        <v>12.9</v>
      </c>
      <c r="H146" s="192">
        <v>1612.5</v>
      </c>
      <c r="I146" s="192">
        <v>1596.375</v>
      </c>
      <c r="J146" s="192">
        <f t="shared" si="1"/>
        <v>16.125</v>
      </c>
    </row>
    <row r="147" spans="1:10">
      <c r="A147" s="189" t="s">
        <v>1979</v>
      </c>
      <c r="B147" s="189" t="s">
        <v>1963</v>
      </c>
      <c r="C147" s="190">
        <v>1120</v>
      </c>
      <c r="D147" s="189" t="s">
        <v>1992</v>
      </c>
      <c r="E147" s="189" t="s">
        <v>2006</v>
      </c>
      <c r="F147" s="193" t="s">
        <v>1961</v>
      </c>
      <c r="G147" s="191">
        <v>16</v>
      </c>
      <c r="H147" s="192">
        <v>2000</v>
      </c>
      <c r="I147" s="192">
        <v>2700</v>
      </c>
      <c r="J147" s="192">
        <f t="shared" si="1"/>
        <v>-700</v>
      </c>
    </row>
    <row r="148" spans="1:10">
      <c r="A148" s="189" t="s">
        <v>1979</v>
      </c>
      <c r="B148" s="189" t="s">
        <v>1963</v>
      </c>
      <c r="C148" s="190">
        <v>1040</v>
      </c>
      <c r="D148" s="189" t="s">
        <v>1992</v>
      </c>
      <c r="E148" s="189" t="s">
        <v>2007</v>
      </c>
      <c r="F148" s="190" t="s">
        <v>1958</v>
      </c>
      <c r="G148" s="191">
        <v>14</v>
      </c>
      <c r="H148" s="192">
        <v>1750</v>
      </c>
      <c r="I148" s="192">
        <v>2362.5</v>
      </c>
      <c r="J148" s="192">
        <f t="shared" si="1"/>
        <v>-612.5</v>
      </c>
    </row>
    <row r="149" spans="1:10">
      <c r="A149" s="189" t="s">
        <v>1979</v>
      </c>
      <c r="B149" s="189" t="s">
        <v>1977</v>
      </c>
      <c r="C149" s="190">
        <v>1040</v>
      </c>
      <c r="D149" s="189" t="s">
        <v>1992</v>
      </c>
      <c r="E149" s="189" t="s">
        <v>2007</v>
      </c>
      <c r="F149" s="190" t="s">
        <v>1958</v>
      </c>
      <c r="G149" s="191">
        <v>5.5</v>
      </c>
      <c r="H149" s="192">
        <v>687.5</v>
      </c>
      <c r="I149" s="192">
        <v>680.625</v>
      </c>
      <c r="J149" s="192">
        <f t="shared" si="1"/>
        <v>6.875</v>
      </c>
    </row>
    <row r="150" spans="1:10">
      <c r="A150" s="189" t="s">
        <v>1988</v>
      </c>
      <c r="B150" s="189" t="s">
        <v>1963</v>
      </c>
      <c r="C150" s="190">
        <v>1040</v>
      </c>
      <c r="D150" s="189" t="s">
        <v>1992</v>
      </c>
      <c r="E150" s="189" t="s">
        <v>2001</v>
      </c>
      <c r="F150" s="190" t="s">
        <v>1958</v>
      </c>
      <c r="G150" s="191">
        <v>2.9</v>
      </c>
      <c r="H150" s="192">
        <v>290</v>
      </c>
      <c r="I150" s="192">
        <v>391.5</v>
      </c>
      <c r="J150" s="192">
        <f t="shared" si="1"/>
        <v>-101.5</v>
      </c>
    </row>
    <row r="151" spans="1:10">
      <c r="A151" s="189" t="s">
        <v>1989</v>
      </c>
      <c r="B151" s="189" t="s">
        <v>1963</v>
      </c>
      <c r="C151" s="190" t="s">
        <v>1964</v>
      </c>
      <c r="D151" s="189" t="s">
        <v>1992</v>
      </c>
      <c r="E151" s="189" t="s">
        <v>1993</v>
      </c>
      <c r="F151" s="190" t="s">
        <v>1958</v>
      </c>
      <c r="G151" s="191">
        <v>5.5</v>
      </c>
      <c r="H151" s="192">
        <v>412.5</v>
      </c>
      <c r="I151" s="192">
        <v>556.875</v>
      </c>
      <c r="J151" s="192">
        <f t="shared" si="1"/>
        <v>-144.375</v>
      </c>
    </row>
    <row r="152" spans="1:10">
      <c r="A152" s="189" t="s">
        <v>1989</v>
      </c>
      <c r="B152" s="189" t="s">
        <v>1963</v>
      </c>
      <c r="C152" s="190">
        <v>1040</v>
      </c>
      <c r="D152" s="189" t="s">
        <v>1992</v>
      </c>
      <c r="E152" s="189" t="s">
        <v>1994</v>
      </c>
      <c r="F152" s="190" t="s">
        <v>1958</v>
      </c>
      <c r="G152" s="191">
        <v>2.4</v>
      </c>
      <c r="H152" s="192">
        <v>180</v>
      </c>
      <c r="I152" s="192">
        <v>243</v>
      </c>
      <c r="J152" s="192">
        <f t="shared" si="1"/>
        <v>-63</v>
      </c>
    </row>
    <row r="153" spans="1:10">
      <c r="A153" s="189" t="s">
        <v>1989</v>
      </c>
      <c r="B153" s="189" t="s">
        <v>1977</v>
      </c>
      <c r="C153" s="190">
        <v>1120</v>
      </c>
      <c r="D153" s="189" t="s">
        <v>1992</v>
      </c>
      <c r="E153" s="189" t="s">
        <v>1995</v>
      </c>
      <c r="F153" s="193" t="s">
        <v>1961</v>
      </c>
      <c r="G153" s="191">
        <v>19</v>
      </c>
      <c r="H153" s="192">
        <v>1425</v>
      </c>
      <c r="I153" s="192">
        <v>1410.75</v>
      </c>
      <c r="J153" s="192">
        <f t="shared" si="1"/>
        <v>14.25</v>
      </c>
    </row>
    <row r="154" spans="1:10">
      <c r="A154" s="189" t="s">
        <v>1567</v>
      </c>
      <c r="B154" s="189" t="s">
        <v>1955</v>
      </c>
      <c r="C154" s="190">
        <v>1040</v>
      </c>
      <c r="D154" s="189" t="s">
        <v>1992</v>
      </c>
      <c r="E154" s="189" t="s">
        <v>1994</v>
      </c>
      <c r="F154" s="190" t="s">
        <v>1958</v>
      </c>
      <c r="G154" s="191">
        <v>6</v>
      </c>
      <c r="H154" s="192">
        <v>450</v>
      </c>
      <c r="I154" s="192">
        <v>414</v>
      </c>
      <c r="J154" s="192">
        <f t="shared" si="1"/>
        <v>36</v>
      </c>
    </row>
    <row r="155" spans="1:10">
      <c r="A155" s="189" t="s">
        <v>1567</v>
      </c>
      <c r="B155" s="189" t="s">
        <v>1959</v>
      </c>
      <c r="C155" s="190">
        <v>1120</v>
      </c>
      <c r="D155" s="189" t="s">
        <v>1992</v>
      </c>
      <c r="E155" s="189" t="s">
        <v>1995</v>
      </c>
      <c r="F155" s="193" t="s">
        <v>1961</v>
      </c>
      <c r="G155" s="191">
        <v>10.199999999999999</v>
      </c>
      <c r="H155" s="192">
        <v>765</v>
      </c>
      <c r="I155" s="192">
        <v>856.8</v>
      </c>
      <c r="J155" s="192">
        <f t="shared" si="1"/>
        <v>-91.799999999999955</v>
      </c>
    </row>
    <row r="156" spans="1:10">
      <c r="A156" s="189" t="s">
        <v>943</v>
      </c>
      <c r="B156" s="189" t="s">
        <v>1963</v>
      </c>
      <c r="C156" s="190">
        <v>1120</v>
      </c>
      <c r="D156" s="189" t="s">
        <v>1992</v>
      </c>
      <c r="E156" s="189" t="s">
        <v>2004</v>
      </c>
      <c r="F156" s="193" t="s">
        <v>1961</v>
      </c>
      <c r="G156" s="191">
        <v>2.4</v>
      </c>
      <c r="H156" s="192">
        <v>300</v>
      </c>
      <c r="I156" s="192">
        <v>336</v>
      </c>
      <c r="J156" s="192">
        <f t="shared" si="1"/>
        <v>-36</v>
      </c>
    </row>
    <row r="157" spans="1:10">
      <c r="A157" s="189" t="s">
        <v>943</v>
      </c>
      <c r="B157" s="189" t="s">
        <v>1955</v>
      </c>
      <c r="C157" s="190">
        <v>1040</v>
      </c>
      <c r="D157" s="189" t="s">
        <v>1992</v>
      </c>
      <c r="E157" s="189" t="s">
        <v>2005</v>
      </c>
      <c r="F157" s="190" t="s">
        <v>1958</v>
      </c>
      <c r="G157" s="191">
        <v>19</v>
      </c>
      <c r="H157" s="192">
        <v>2375</v>
      </c>
      <c r="I157" s="192">
        <v>2185</v>
      </c>
      <c r="J157" s="192">
        <f t="shared" si="1"/>
        <v>190</v>
      </c>
    </row>
    <row r="158" spans="1:10">
      <c r="A158" s="189" t="s">
        <v>943</v>
      </c>
      <c r="B158" s="189" t="s">
        <v>1959</v>
      </c>
      <c r="C158" s="190">
        <v>1040</v>
      </c>
      <c r="D158" s="189" t="s">
        <v>1992</v>
      </c>
      <c r="E158" s="189" t="s">
        <v>2005</v>
      </c>
      <c r="F158" s="190" t="s">
        <v>1958</v>
      </c>
      <c r="G158" s="191">
        <v>8</v>
      </c>
      <c r="H158" s="192">
        <v>1000</v>
      </c>
      <c r="I158" s="192">
        <v>1120</v>
      </c>
      <c r="J158" s="192">
        <f t="shared" si="1"/>
        <v>-120</v>
      </c>
    </row>
    <row r="159" spans="1:10">
      <c r="A159" s="189" t="s">
        <v>943</v>
      </c>
      <c r="B159" s="189" t="s">
        <v>1955</v>
      </c>
      <c r="C159" s="190">
        <v>1065</v>
      </c>
      <c r="D159" s="189" t="s">
        <v>1992</v>
      </c>
      <c r="E159" s="189" t="s">
        <v>2006</v>
      </c>
      <c r="F159" s="193" t="s">
        <v>1961</v>
      </c>
      <c r="G159" s="191">
        <v>22</v>
      </c>
      <c r="H159" s="192">
        <v>2750</v>
      </c>
      <c r="I159" s="192">
        <v>2530</v>
      </c>
      <c r="J159" s="192">
        <f t="shared" si="1"/>
        <v>220</v>
      </c>
    </row>
    <row r="160" spans="1:10">
      <c r="A160" s="189" t="s">
        <v>943</v>
      </c>
      <c r="B160" s="189" t="s">
        <v>1959</v>
      </c>
      <c r="C160" s="190">
        <v>1040</v>
      </c>
      <c r="D160" s="189" t="s">
        <v>1992</v>
      </c>
      <c r="E160" s="189" t="s">
        <v>2007</v>
      </c>
      <c r="F160" s="190" t="s">
        <v>1958</v>
      </c>
      <c r="G160" s="191">
        <v>6</v>
      </c>
      <c r="H160" s="192">
        <v>750</v>
      </c>
      <c r="I160" s="192">
        <v>840</v>
      </c>
      <c r="J160" s="192">
        <f t="shared" si="1"/>
        <v>-90</v>
      </c>
    </row>
    <row r="161" spans="1:10">
      <c r="A161" s="189" t="s">
        <v>1797</v>
      </c>
      <c r="B161" s="189" t="s">
        <v>1977</v>
      </c>
      <c r="C161" s="190">
        <v>1120</v>
      </c>
      <c r="D161" s="189" t="s">
        <v>1992</v>
      </c>
      <c r="E161" s="189" t="s">
        <v>2000</v>
      </c>
      <c r="F161" s="193" t="s">
        <v>1961</v>
      </c>
      <c r="G161" s="191">
        <v>6</v>
      </c>
      <c r="H161" s="192">
        <v>600</v>
      </c>
      <c r="I161" s="192">
        <v>594</v>
      </c>
      <c r="J161" s="192">
        <f t="shared" si="1"/>
        <v>6</v>
      </c>
    </row>
    <row r="162" spans="1:10">
      <c r="A162" s="189" t="s">
        <v>1954</v>
      </c>
      <c r="B162" s="189" t="s">
        <v>1955</v>
      </c>
      <c r="C162" s="190">
        <v>1065</v>
      </c>
      <c r="D162" s="189" t="s">
        <v>1965</v>
      </c>
      <c r="E162" s="189" t="s">
        <v>2008</v>
      </c>
      <c r="F162" s="193" t="s">
        <v>1961</v>
      </c>
      <c r="G162" s="191">
        <v>2.4</v>
      </c>
      <c r="H162" s="192">
        <v>180</v>
      </c>
      <c r="I162" s="192">
        <v>165.6</v>
      </c>
      <c r="J162" s="192">
        <f t="shared" si="1"/>
        <v>14.400000000000006</v>
      </c>
    </row>
    <row r="163" spans="1:10">
      <c r="A163" s="189" t="s">
        <v>1954</v>
      </c>
      <c r="B163" s="189" t="s">
        <v>1959</v>
      </c>
      <c r="C163" s="190">
        <v>1040</v>
      </c>
      <c r="D163" s="189" t="s">
        <v>1965</v>
      </c>
      <c r="E163" s="189" t="s">
        <v>2009</v>
      </c>
      <c r="F163" s="190" t="s">
        <v>1958</v>
      </c>
      <c r="G163" s="191">
        <v>12.9</v>
      </c>
      <c r="H163" s="192">
        <v>967.5</v>
      </c>
      <c r="I163" s="192">
        <v>1083.5999999999999</v>
      </c>
      <c r="J163" s="192">
        <f t="shared" si="1"/>
        <v>-116.09999999999991</v>
      </c>
    </row>
    <row r="164" spans="1:10">
      <c r="A164" s="189" t="s">
        <v>1954</v>
      </c>
      <c r="B164" s="189" t="s">
        <v>1955</v>
      </c>
      <c r="C164" s="190" t="s">
        <v>1978</v>
      </c>
      <c r="D164" s="189" t="s">
        <v>1965</v>
      </c>
      <c r="E164" s="193" t="s">
        <v>2010</v>
      </c>
      <c r="F164" s="193" t="s">
        <v>1961</v>
      </c>
      <c r="G164" s="191">
        <v>14</v>
      </c>
      <c r="H164" s="192">
        <v>1050</v>
      </c>
      <c r="I164" s="192">
        <v>966</v>
      </c>
      <c r="J164" s="192">
        <f t="shared" si="1"/>
        <v>84</v>
      </c>
    </row>
    <row r="165" spans="1:10">
      <c r="A165" s="189" t="s">
        <v>1954</v>
      </c>
      <c r="B165" s="189" t="s">
        <v>1959</v>
      </c>
      <c r="C165" s="190">
        <v>1120</v>
      </c>
      <c r="D165" s="189" t="s">
        <v>1965</v>
      </c>
      <c r="E165" s="193" t="s">
        <v>2011</v>
      </c>
      <c r="F165" s="193" t="s">
        <v>1961</v>
      </c>
      <c r="G165" s="191">
        <v>4.5</v>
      </c>
      <c r="H165" s="192">
        <v>337.5</v>
      </c>
      <c r="I165" s="192">
        <v>378</v>
      </c>
      <c r="J165" s="192">
        <f t="shared" si="1"/>
        <v>-40.5</v>
      </c>
    </row>
    <row r="166" spans="1:10">
      <c r="A166" s="189" t="s">
        <v>1801</v>
      </c>
      <c r="B166" s="189" t="s">
        <v>1959</v>
      </c>
      <c r="C166" s="190">
        <v>1040</v>
      </c>
      <c r="D166" s="189" t="s">
        <v>1965</v>
      </c>
      <c r="E166" s="189" t="s">
        <v>2012</v>
      </c>
      <c r="F166" s="190" t="s">
        <v>1958</v>
      </c>
      <c r="G166" s="191">
        <v>3.7</v>
      </c>
      <c r="H166" s="192">
        <v>277.5</v>
      </c>
      <c r="I166" s="192">
        <v>310.8</v>
      </c>
      <c r="J166" s="192">
        <f t="shared" si="1"/>
        <v>-33.300000000000011</v>
      </c>
    </row>
    <row r="167" spans="1:10">
      <c r="A167" s="189" t="s">
        <v>1967</v>
      </c>
      <c r="B167" s="189" t="s">
        <v>1955</v>
      </c>
      <c r="C167" s="190">
        <v>1120</v>
      </c>
      <c r="D167" s="189" t="s">
        <v>1965</v>
      </c>
      <c r="E167" s="189" t="s">
        <v>2013</v>
      </c>
      <c r="F167" s="193" t="s">
        <v>1961</v>
      </c>
      <c r="G167" s="191">
        <v>4</v>
      </c>
      <c r="H167" s="192">
        <v>300</v>
      </c>
      <c r="I167" s="192">
        <v>276</v>
      </c>
      <c r="J167" s="192">
        <f t="shared" si="1"/>
        <v>24</v>
      </c>
    </row>
    <row r="168" spans="1:10">
      <c r="A168" s="189" t="s">
        <v>1967</v>
      </c>
      <c r="B168" s="189" t="s">
        <v>1955</v>
      </c>
      <c r="C168" s="190">
        <v>1040</v>
      </c>
      <c r="D168" s="189" t="s">
        <v>1965</v>
      </c>
      <c r="E168" s="193" t="s">
        <v>2011</v>
      </c>
      <c r="F168" s="193" t="s">
        <v>1961</v>
      </c>
      <c r="G168" s="191">
        <v>3.5</v>
      </c>
      <c r="H168" s="192">
        <v>262.5</v>
      </c>
      <c r="I168" s="192">
        <v>241.5</v>
      </c>
      <c r="J168" s="192">
        <f t="shared" si="1"/>
        <v>21</v>
      </c>
    </row>
    <row r="169" spans="1:10">
      <c r="A169" s="189" t="s">
        <v>1969</v>
      </c>
      <c r="B169" s="189" t="s">
        <v>1955</v>
      </c>
      <c r="C169" s="190">
        <v>1040</v>
      </c>
      <c r="D169" s="189" t="s">
        <v>1965</v>
      </c>
      <c r="E169" s="193" t="s">
        <v>2014</v>
      </c>
      <c r="F169" s="190" t="s">
        <v>1958</v>
      </c>
      <c r="G169" s="191">
        <v>6</v>
      </c>
      <c r="H169" s="192">
        <v>600</v>
      </c>
      <c r="I169" s="192">
        <v>552</v>
      </c>
      <c r="J169" s="192">
        <f t="shared" si="1"/>
        <v>48</v>
      </c>
    </row>
    <row r="170" spans="1:10">
      <c r="A170" s="189" t="s">
        <v>1969</v>
      </c>
      <c r="B170" s="189" t="s">
        <v>1955</v>
      </c>
      <c r="C170" s="190">
        <v>1065</v>
      </c>
      <c r="D170" s="189" t="s">
        <v>1965</v>
      </c>
      <c r="E170" s="189" t="s">
        <v>2015</v>
      </c>
      <c r="F170" s="193" t="s">
        <v>1961</v>
      </c>
      <c r="G170" s="191">
        <v>2</v>
      </c>
      <c r="H170" s="192">
        <v>200</v>
      </c>
      <c r="I170" s="192">
        <v>184</v>
      </c>
      <c r="J170" s="192">
        <f t="shared" si="1"/>
        <v>16</v>
      </c>
    </row>
    <row r="171" spans="1:10">
      <c r="A171" s="189" t="s">
        <v>1969</v>
      </c>
      <c r="B171" s="189" t="s">
        <v>1959</v>
      </c>
      <c r="C171" s="190">
        <v>1120</v>
      </c>
      <c r="D171" s="189" t="s">
        <v>1965</v>
      </c>
      <c r="E171" s="189" t="s">
        <v>2015</v>
      </c>
      <c r="F171" s="193" t="s">
        <v>1961</v>
      </c>
      <c r="G171" s="191">
        <v>10.199999999999999</v>
      </c>
      <c r="H171" s="192">
        <v>1020</v>
      </c>
      <c r="I171" s="192">
        <v>1142.4000000000001</v>
      </c>
      <c r="J171" s="192">
        <f t="shared" si="1"/>
        <v>-122.40000000000009</v>
      </c>
    </row>
    <row r="172" spans="1:10">
      <c r="A172" s="189" t="s">
        <v>1969</v>
      </c>
      <c r="B172" s="189" t="s">
        <v>1955</v>
      </c>
      <c r="C172" s="190" t="s">
        <v>1964</v>
      </c>
      <c r="D172" s="189" t="s">
        <v>1965</v>
      </c>
      <c r="E172" s="189" t="s">
        <v>2016</v>
      </c>
      <c r="F172" s="193" t="s">
        <v>1961</v>
      </c>
      <c r="G172" s="191">
        <v>2.9</v>
      </c>
      <c r="H172" s="192">
        <v>290</v>
      </c>
      <c r="I172" s="192">
        <v>266.8</v>
      </c>
      <c r="J172" s="192">
        <f t="shared" si="1"/>
        <v>23.199999999999989</v>
      </c>
    </row>
    <row r="173" spans="1:10">
      <c r="A173" s="189" t="s">
        <v>1969</v>
      </c>
      <c r="B173" s="189" t="s">
        <v>1959</v>
      </c>
      <c r="C173" s="190">
        <v>1120</v>
      </c>
      <c r="D173" s="189" t="s">
        <v>1965</v>
      </c>
      <c r="E173" s="189" t="s">
        <v>2016</v>
      </c>
      <c r="F173" s="193" t="s">
        <v>1961</v>
      </c>
      <c r="G173" s="191">
        <v>22</v>
      </c>
      <c r="H173" s="192">
        <v>2200</v>
      </c>
      <c r="I173" s="192">
        <v>2464</v>
      </c>
      <c r="J173" s="192">
        <f t="shared" si="1"/>
        <v>-264</v>
      </c>
    </row>
    <row r="174" spans="1:10">
      <c r="A174" s="189" t="s">
        <v>1969</v>
      </c>
      <c r="B174" s="189" t="s">
        <v>1959</v>
      </c>
      <c r="C174" s="190" t="s">
        <v>1964</v>
      </c>
      <c r="D174" s="189" t="s">
        <v>1965</v>
      </c>
      <c r="E174" s="193" t="s">
        <v>2017</v>
      </c>
      <c r="F174" s="190" t="s">
        <v>1958</v>
      </c>
      <c r="G174" s="191">
        <v>12</v>
      </c>
      <c r="H174" s="192">
        <v>1200</v>
      </c>
      <c r="I174" s="192">
        <v>1344</v>
      </c>
      <c r="J174" s="192">
        <f t="shared" si="1"/>
        <v>-144</v>
      </c>
    </row>
    <row r="175" spans="1:10">
      <c r="A175" s="189" t="s">
        <v>1969</v>
      </c>
      <c r="B175" s="189" t="s">
        <v>1955</v>
      </c>
      <c r="C175" s="190" t="s">
        <v>1978</v>
      </c>
      <c r="D175" s="189" t="s">
        <v>1965</v>
      </c>
      <c r="E175" s="193" t="s">
        <v>2017</v>
      </c>
      <c r="F175" s="190" t="s">
        <v>1958</v>
      </c>
      <c r="G175" s="191">
        <v>6</v>
      </c>
      <c r="H175" s="192">
        <v>600</v>
      </c>
      <c r="I175" s="192">
        <v>552</v>
      </c>
      <c r="J175" s="192">
        <f t="shared" si="1"/>
        <v>48</v>
      </c>
    </row>
    <row r="176" spans="1:10">
      <c r="A176" s="189" t="s">
        <v>1721</v>
      </c>
      <c r="B176" s="189" t="s">
        <v>1959</v>
      </c>
      <c r="C176" s="190">
        <v>1065</v>
      </c>
      <c r="D176" s="189" t="s">
        <v>1965</v>
      </c>
      <c r="E176" s="189" t="s">
        <v>2008</v>
      </c>
      <c r="F176" s="193" t="s">
        <v>1961</v>
      </c>
      <c r="G176" s="191">
        <v>9</v>
      </c>
      <c r="H176" s="192">
        <v>675</v>
      </c>
      <c r="I176" s="192">
        <v>756</v>
      </c>
      <c r="J176" s="192">
        <f t="shared" si="1"/>
        <v>-81</v>
      </c>
    </row>
    <row r="177" spans="1:10">
      <c r="A177" s="189" t="s">
        <v>1721</v>
      </c>
      <c r="B177" s="189" t="s">
        <v>1955</v>
      </c>
      <c r="C177" s="190">
        <v>1040</v>
      </c>
      <c r="D177" s="189" t="s">
        <v>1965</v>
      </c>
      <c r="E177" s="189" t="s">
        <v>2009</v>
      </c>
      <c r="F177" s="190" t="s">
        <v>1958</v>
      </c>
      <c r="G177" s="191">
        <v>16</v>
      </c>
      <c r="H177" s="192">
        <v>1200</v>
      </c>
      <c r="I177" s="192">
        <v>1104</v>
      </c>
      <c r="J177" s="192">
        <f t="shared" si="1"/>
        <v>96</v>
      </c>
    </row>
    <row r="178" spans="1:10">
      <c r="A178" s="189" t="s">
        <v>1721</v>
      </c>
      <c r="B178" s="189" t="s">
        <v>1955</v>
      </c>
      <c r="C178" s="190">
        <v>1040</v>
      </c>
      <c r="D178" s="189" t="s">
        <v>1965</v>
      </c>
      <c r="E178" s="189" t="s">
        <v>2018</v>
      </c>
      <c r="F178" s="190" t="s">
        <v>1958</v>
      </c>
      <c r="G178" s="191">
        <v>5.5</v>
      </c>
      <c r="H178" s="192">
        <v>412.5</v>
      </c>
      <c r="I178" s="192">
        <v>379.5</v>
      </c>
      <c r="J178" s="192">
        <f t="shared" si="1"/>
        <v>33</v>
      </c>
    </row>
    <row r="179" spans="1:10">
      <c r="A179" s="189" t="s">
        <v>1721</v>
      </c>
      <c r="B179" s="189" t="s">
        <v>1955</v>
      </c>
      <c r="C179" s="190">
        <v>1040</v>
      </c>
      <c r="D179" s="189" t="s">
        <v>1965</v>
      </c>
      <c r="E179" s="189" t="s">
        <v>2019</v>
      </c>
      <c r="F179" s="190" t="s">
        <v>1958</v>
      </c>
      <c r="G179" s="191">
        <v>8</v>
      </c>
      <c r="H179" s="192">
        <v>600</v>
      </c>
      <c r="I179" s="192">
        <v>552</v>
      </c>
      <c r="J179" s="192">
        <f t="shared" si="1"/>
        <v>48</v>
      </c>
    </row>
    <row r="180" spans="1:10">
      <c r="A180" s="189" t="s">
        <v>2003</v>
      </c>
      <c r="B180" s="189" t="s">
        <v>1963</v>
      </c>
      <c r="C180" s="190">
        <v>1120</v>
      </c>
      <c r="D180" s="189" t="s">
        <v>1965</v>
      </c>
      <c r="E180" s="189" t="s">
        <v>2015</v>
      </c>
      <c r="F180" s="193" t="s">
        <v>1961</v>
      </c>
      <c r="G180" s="191">
        <v>8.4</v>
      </c>
      <c r="H180" s="192">
        <v>840</v>
      </c>
      <c r="I180" s="192">
        <v>1134</v>
      </c>
      <c r="J180" s="192">
        <f t="shared" si="1"/>
        <v>-294</v>
      </c>
    </row>
    <row r="181" spans="1:10">
      <c r="A181" s="189" t="s">
        <v>2003</v>
      </c>
      <c r="B181" s="189" t="s">
        <v>1977</v>
      </c>
      <c r="C181" s="190" t="s">
        <v>1978</v>
      </c>
      <c r="D181" s="189" t="s">
        <v>1965</v>
      </c>
      <c r="E181" s="193" t="s">
        <v>2017</v>
      </c>
      <c r="F181" s="190" t="s">
        <v>1958</v>
      </c>
      <c r="G181" s="191">
        <v>14</v>
      </c>
      <c r="H181" s="192">
        <v>1400</v>
      </c>
      <c r="I181" s="192">
        <v>1386</v>
      </c>
      <c r="J181" s="192">
        <f t="shared" si="1"/>
        <v>14</v>
      </c>
    </row>
    <row r="182" spans="1:10">
      <c r="A182" s="189" t="s">
        <v>1833</v>
      </c>
      <c r="B182" s="189" t="s">
        <v>1977</v>
      </c>
      <c r="C182" s="190">
        <v>1065</v>
      </c>
      <c r="D182" s="189" t="s">
        <v>1965</v>
      </c>
      <c r="E182" s="193" t="s">
        <v>2014</v>
      </c>
      <c r="F182" s="190" t="s">
        <v>1958</v>
      </c>
      <c r="G182" s="191">
        <v>3.5</v>
      </c>
      <c r="H182" s="192">
        <v>350</v>
      </c>
      <c r="I182" s="192">
        <v>346.5</v>
      </c>
      <c r="J182" s="192">
        <f t="shared" si="1"/>
        <v>3.5</v>
      </c>
    </row>
    <row r="183" spans="1:10">
      <c r="A183" s="189" t="s">
        <v>1833</v>
      </c>
      <c r="B183" s="189" t="s">
        <v>1963</v>
      </c>
      <c r="C183" s="190">
        <v>1120</v>
      </c>
      <c r="D183" s="189" t="s">
        <v>1965</v>
      </c>
      <c r="E183" s="189" t="s">
        <v>2016</v>
      </c>
      <c r="F183" s="193" t="s">
        <v>1961</v>
      </c>
      <c r="G183" s="191">
        <v>12.9</v>
      </c>
      <c r="H183" s="192">
        <v>1290</v>
      </c>
      <c r="I183" s="192">
        <v>1741.5</v>
      </c>
      <c r="J183" s="192">
        <f t="shared" si="1"/>
        <v>-451.5</v>
      </c>
    </row>
    <row r="184" spans="1:10">
      <c r="A184" s="189" t="s">
        <v>1979</v>
      </c>
      <c r="B184" s="189" t="s">
        <v>1963</v>
      </c>
      <c r="C184" s="190">
        <v>1065</v>
      </c>
      <c r="D184" s="189" t="s">
        <v>1965</v>
      </c>
      <c r="E184" s="189" t="s">
        <v>2020</v>
      </c>
      <c r="F184" s="190" t="s">
        <v>1958</v>
      </c>
      <c r="G184" s="191">
        <v>32</v>
      </c>
      <c r="H184" s="192">
        <v>4000</v>
      </c>
      <c r="I184" s="192">
        <v>5400</v>
      </c>
      <c r="J184" s="192">
        <f t="shared" si="1"/>
        <v>-1400</v>
      </c>
    </row>
    <row r="185" spans="1:10">
      <c r="A185" s="189" t="s">
        <v>1979</v>
      </c>
      <c r="B185" s="189" t="s">
        <v>1977</v>
      </c>
      <c r="C185" s="190">
        <v>1040</v>
      </c>
      <c r="D185" s="189" t="s">
        <v>1965</v>
      </c>
      <c r="E185" s="189" t="s">
        <v>2021</v>
      </c>
      <c r="F185" s="190" t="s">
        <v>1958</v>
      </c>
      <c r="G185" s="191">
        <v>6</v>
      </c>
      <c r="H185" s="192">
        <v>750</v>
      </c>
      <c r="I185" s="192">
        <v>742.5</v>
      </c>
      <c r="J185" s="192">
        <f t="shared" si="1"/>
        <v>7.5</v>
      </c>
    </row>
    <row r="186" spans="1:10">
      <c r="A186" s="189" t="s">
        <v>1979</v>
      </c>
      <c r="B186" s="189" t="s">
        <v>1977</v>
      </c>
      <c r="C186" s="190">
        <v>1040</v>
      </c>
      <c r="D186" s="189" t="s">
        <v>1965</v>
      </c>
      <c r="E186" s="189" t="s">
        <v>2022</v>
      </c>
      <c r="F186" s="190" t="s">
        <v>1958</v>
      </c>
      <c r="G186" s="191">
        <v>2.9</v>
      </c>
      <c r="H186" s="192">
        <v>362.5</v>
      </c>
      <c r="I186" s="192">
        <v>358.875</v>
      </c>
      <c r="J186" s="192">
        <f t="shared" si="1"/>
        <v>3.625</v>
      </c>
    </row>
    <row r="187" spans="1:10">
      <c r="A187" s="189" t="s">
        <v>1979</v>
      </c>
      <c r="B187" s="189" t="s">
        <v>1963</v>
      </c>
      <c r="C187" s="190">
        <v>1040</v>
      </c>
      <c r="D187" s="189" t="s">
        <v>1965</v>
      </c>
      <c r="E187" s="189" t="s">
        <v>2022</v>
      </c>
      <c r="F187" s="190" t="s">
        <v>1958</v>
      </c>
      <c r="G187" s="191">
        <v>22</v>
      </c>
      <c r="H187" s="192">
        <v>2750</v>
      </c>
      <c r="I187" s="192">
        <v>3712.5</v>
      </c>
      <c r="J187" s="192">
        <f t="shared" si="1"/>
        <v>-962.5</v>
      </c>
    </row>
    <row r="188" spans="1:10">
      <c r="A188" s="189" t="s">
        <v>1979</v>
      </c>
      <c r="B188" s="189" t="s">
        <v>1977</v>
      </c>
      <c r="C188" s="190">
        <v>1120</v>
      </c>
      <c r="D188" s="189" t="s">
        <v>1965</v>
      </c>
      <c r="E188" s="189" t="s">
        <v>2023</v>
      </c>
      <c r="F188" s="193" t="s">
        <v>1961</v>
      </c>
      <c r="G188" s="191">
        <v>2.6</v>
      </c>
      <c r="H188" s="192">
        <v>325</v>
      </c>
      <c r="I188" s="192">
        <v>321.75</v>
      </c>
      <c r="J188" s="192">
        <f t="shared" si="1"/>
        <v>3.25</v>
      </c>
    </row>
    <row r="189" spans="1:10">
      <c r="A189" s="189" t="s">
        <v>1979</v>
      </c>
      <c r="B189" s="189" t="s">
        <v>1977</v>
      </c>
      <c r="C189" s="190">
        <v>1040</v>
      </c>
      <c r="D189" s="189" t="s">
        <v>1965</v>
      </c>
      <c r="E189" s="189" t="s">
        <v>2024</v>
      </c>
      <c r="F189" s="190" t="s">
        <v>1958</v>
      </c>
      <c r="G189" s="191">
        <v>9</v>
      </c>
      <c r="H189" s="192">
        <v>1125</v>
      </c>
      <c r="I189" s="192">
        <v>1113.75</v>
      </c>
      <c r="J189" s="192">
        <f t="shared" si="1"/>
        <v>11.25</v>
      </c>
    </row>
    <row r="190" spans="1:10">
      <c r="A190" s="189" t="s">
        <v>1989</v>
      </c>
      <c r="B190" s="189" t="s">
        <v>1963</v>
      </c>
      <c r="C190" s="190">
        <v>1065</v>
      </c>
      <c r="D190" s="189" t="s">
        <v>1965</v>
      </c>
      <c r="E190" s="189" t="s">
        <v>2008</v>
      </c>
      <c r="F190" s="193" t="s">
        <v>1961</v>
      </c>
      <c r="G190" s="191">
        <v>5</v>
      </c>
      <c r="H190" s="192">
        <v>375</v>
      </c>
      <c r="I190" s="192">
        <v>506.25</v>
      </c>
      <c r="J190" s="192">
        <f t="shared" si="1"/>
        <v>-131.25</v>
      </c>
    </row>
    <row r="191" spans="1:10">
      <c r="A191" s="189" t="s">
        <v>1989</v>
      </c>
      <c r="B191" s="189" t="s">
        <v>1977</v>
      </c>
      <c r="C191" s="190">
        <v>1120</v>
      </c>
      <c r="D191" s="189" t="s">
        <v>1965</v>
      </c>
      <c r="E191" s="189" t="s">
        <v>2013</v>
      </c>
      <c r="F191" s="193" t="s">
        <v>1961</v>
      </c>
      <c r="G191" s="191">
        <v>8</v>
      </c>
      <c r="H191" s="192">
        <v>600</v>
      </c>
      <c r="I191" s="192">
        <v>594</v>
      </c>
      <c r="J191" s="192">
        <f t="shared" ref="J191:J215" si="2">H191-I191</f>
        <v>6</v>
      </c>
    </row>
    <row r="192" spans="1:10">
      <c r="A192" s="189" t="s">
        <v>1989</v>
      </c>
      <c r="B192" s="189" t="s">
        <v>1963</v>
      </c>
      <c r="C192" s="190">
        <v>1120</v>
      </c>
      <c r="D192" s="189" t="s">
        <v>1965</v>
      </c>
      <c r="E192" s="189" t="s">
        <v>2013</v>
      </c>
      <c r="F192" s="193" t="s">
        <v>1961</v>
      </c>
      <c r="G192" s="191">
        <v>6</v>
      </c>
      <c r="H192" s="192">
        <v>450</v>
      </c>
      <c r="I192" s="192">
        <v>607.5</v>
      </c>
      <c r="J192" s="192">
        <f t="shared" si="2"/>
        <v>-157.5</v>
      </c>
    </row>
    <row r="193" spans="1:10">
      <c r="A193" s="189" t="s">
        <v>1989</v>
      </c>
      <c r="B193" s="189" t="s">
        <v>1977</v>
      </c>
      <c r="C193" s="190">
        <v>1040</v>
      </c>
      <c r="D193" s="189" t="s">
        <v>1965</v>
      </c>
      <c r="E193" s="189" t="s">
        <v>2025</v>
      </c>
      <c r="F193" s="190" t="s">
        <v>1958</v>
      </c>
      <c r="G193" s="191">
        <v>32</v>
      </c>
      <c r="H193" s="192">
        <v>2400</v>
      </c>
      <c r="I193" s="192">
        <v>2376</v>
      </c>
      <c r="J193" s="192">
        <f t="shared" si="2"/>
        <v>24</v>
      </c>
    </row>
    <row r="194" spans="1:10">
      <c r="A194" s="189" t="s">
        <v>1989</v>
      </c>
      <c r="B194" s="189" t="s">
        <v>1963</v>
      </c>
      <c r="C194" s="190" t="s">
        <v>1964</v>
      </c>
      <c r="D194" s="189" t="s">
        <v>1965</v>
      </c>
      <c r="E194" s="189" t="s">
        <v>2025</v>
      </c>
      <c r="F194" s="190" t="s">
        <v>1958</v>
      </c>
      <c r="G194" s="191">
        <v>14</v>
      </c>
      <c r="H194" s="192">
        <v>1050</v>
      </c>
      <c r="I194" s="192">
        <v>1417.5</v>
      </c>
      <c r="J194" s="192">
        <f t="shared" si="2"/>
        <v>-367.5</v>
      </c>
    </row>
    <row r="195" spans="1:10">
      <c r="A195" s="189" t="s">
        <v>1989</v>
      </c>
      <c r="B195" s="189" t="s">
        <v>1977</v>
      </c>
      <c r="C195" s="190">
        <v>1040</v>
      </c>
      <c r="D195" s="189" t="s">
        <v>1965</v>
      </c>
      <c r="E195" s="189" t="s">
        <v>2009</v>
      </c>
      <c r="F195" s="190" t="s">
        <v>1958</v>
      </c>
      <c r="G195" s="191">
        <v>22</v>
      </c>
      <c r="H195" s="192">
        <v>1650</v>
      </c>
      <c r="I195" s="192">
        <v>1633.5</v>
      </c>
      <c r="J195" s="192">
        <f t="shared" si="2"/>
        <v>16.5</v>
      </c>
    </row>
    <row r="196" spans="1:10">
      <c r="A196" s="189" t="s">
        <v>1989</v>
      </c>
      <c r="B196" s="189" t="s">
        <v>1963</v>
      </c>
      <c r="C196" s="190">
        <v>1040</v>
      </c>
      <c r="D196" s="189" t="s">
        <v>1965</v>
      </c>
      <c r="E196" s="189" t="s">
        <v>2012</v>
      </c>
      <c r="F196" s="190" t="s">
        <v>1958</v>
      </c>
      <c r="G196" s="191">
        <v>4.5</v>
      </c>
      <c r="H196" s="192">
        <v>337.5</v>
      </c>
      <c r="I196" s="192">
        <v>455.625</v>
      </c>
      <c r="J196" s="192">
        <f t="shared" si="2"/>
        <v>-118.125</v>
      </c>
    </row>
    <row r="197" spans="1:10">
      <c r="A197" s="189" t="s">
        <v>1989</v>
      </c>
      <c r="B197" s="189" t="s">
        <v>1977</v>
      </c>
      <c r="C197" s="190">
        <v>1040</v>
      </c>
      <c r="D197" s="189" t="s">
        <v>1965</v>
      </c>
      <c r="E197" s="189" t="s">
        <v>2012</v>
      </c>
      <c r="F197" s="190" t="s">
        <v>1958</v>
      </c>
      <c r="G197" s="191">
        <v>2</v>
      </c>
      <c r="H197" s="192">
        <v>150</v>
      </c>
      <c r="I197" s="192">
        <v>148.5</v>
      </c>
      <c r="J197" s="192">
        <f t="shared" si="2"/>
        <v>1.5</v>
      </c>
    </row>
    <row r="198" spans="1:10">
      <c r="A198" s="189" t="s">
        <v>1989</v>
      </c>
      <c r="B198" s="189" t="s">
        <v>1963</v>
      </c>
      <c r="C198" s="190" t="s">
        <v>1964</v>
      </c>
      <c r="D198" s="189" t="s">
        <v>1965</v>
      </c>
      <c r="E198" s="189" t="s">
        <v>2018</v>
      </c>
      <c r="F198" s="190" t="s">
        <v>1958</v>
      </c>
      <c r="G198" s="191">
        <v>3.5</v>
      </c>
      <c r="H198" s="192">
        <v>262.5</v>
      </c>
      <c r="I198" s="192">
        <v>354.375</v>
      </c>
      <c r="J198" s="192">
        <f t="shared" si="2"/>
        <v>-91.875</v>
      </c>
    </row>
    <row r="199" spans="1:10">
      <c r="A199" s="189" t="s">
        <v>1989</v>
      </c>
      <c r="B199" s="189" t="s">
        <v>1977</v>
      </c>
      <c r="C199" s="190">
        <v>1040</v>
      </c>
      <c r="D199" s="189" t="s">
        <v>1965</v>
      </c>
      <c r="E199" s="189" t="s">
        <v>2019</v>
      </c>
      <c r="F199" s="190" t="s">
        <v>1958</v>
      </c>
      <c r="G199" s="191">
        <v>17</v>
      </c>
      <c r="H199" s="192">
        <v>1275</v>
      </c>
      <c r="I199" s="192">
        <v>1262.25</v>
      </c>
      <c r="J199" s="192">
        <f t="shared" si="2"/>
        <v>12.75</v>
      </c>
    </row>
    <row r="200" spans="1:10">
      <c r="A200" s="189" t="s">
        <v>1989</v>
      </c>
      <c r="B200" s="189" t="s">
        <v>1963</v>
      </c>
      <c r="C200" s="190">
        <v>1040</v>
      </c>
      <c r="D200" s="189" t="s">
        <v>1965</v>
      </c>
      <c r="E200" s="189" t="s">
        <v>2019</v>
      </c>
      <c r="F200" s="190" t="s">
        <v>1958</v>
      </c>
      <c r="G200" s="191">
        <v>4</v>
      </c>
      <c r="H200" s="192">
        <v>300</v>
      </c>
      <c r="I200" s="192">
        <v>405</v>
      </c>
      <c r="J200" s="192">
        <f t="shared" si="2"/>
        <v>-105</v>
      </c>
    </row>
    <row r="201" spans="1:10">
      <c r="A201" s="189" t="s">
        <v>1989</v>
      </c>
      <c r="B201" s="189" t="s">
        <v>1977</v>
      </c>
      <c r="C201" s="190">
        <v>1065</v>
      </c>
      <c r="D201" s="189" t="s">
        <v>1965</v>
      </c>
      <c r="E201" s="193" t="s">
        <v>2010</v>
      </c>
      <c r="F201" s="193" t="s">
        <v>1961</v>
      </c>
      <c r="G201" s="191">
        <v>12</v>
      </c>
      <c r="H201" s="192">
        <v>900</v>
      </c>
      <c r="I201" s="192">
        <v>891</v>
      </c>
      <c r="J201" s="192">
        <f t="shared" si="2"/>
        <v>9</v>
      </c>
    </row>
    <row r="202" spans="1:10">
      <c r="A202" s="189" t="s">
        <v>1989</v>
      </c>
      <c r="B202" s="189" t="s">
        <v>1963</v>
      </c>
      <c r="C202" s="190">
        <v>1120</v>
      </c>
      <c r="D202" s="189" t="s">
        <v>1965</v>
      </c>
      <c r="E202" s="193" t="s">
        <v>2010</v>
      </c>
      <c r="F202" s="193" t="s">
        <v>1961</v>
      </c>
      <c r="G202" s="191">
        <v>6</v>
      </c>
      <c r="H202" s="192">
        <v>450</v>
      </c>
      <c r="I202" s="192">
        <v>607.5</v>
      </c>
      <c r="J202" s="192">
        <f t="shared" si="2"/>
        <v>-157.5</v>
      </c>
    </row>
    <row r="203" spans="1:10">
      <c r="A203" s="189" t="s">
        <v>1989</v>
      </c>
      <c r="B203" s="189" t="s">
        <v>1963</v>
      </c>
      <c r="C203" s="190">
        <v>1120</v>
      </c>
      <c r="D203" s="189" t="s">
        <v>1965</v>
      </c>
      <c r="E203" s="193" t="s">
        <v>2011</v>
      </c>
      <c r="F203" s="193" t="s">
        <v>1961</v>
      </c>
      <c r="G203" s="191">
        <v>6</v>
      </c>
      <c r="H203" s="192">
        <v>450</v>
      </c>
      <c r="I203" s="192">
        <v>607.5</v>
      </c>
      <c r="J203" s="192">
        <f t="shared" si="2"/>
        <v>-157.5</v>
      </c>
    </row>
    <row r="204" spans="1:10">
      <c r="A204" s="189" t="s">
        <v>1567</v>
      </c>
      <c r="B204" s="189" t="s">
        <v>1955</v>
      </c>
      <c r="C204" s="190">
        <v>1040</v>
      </c>
      <c r="D204" s="189" t="s">
        <v>1965</v>
      </c>
      <c r="E204" s="189" t="s">
        <v>2025</v>
      </c>
      <c r="F204" s="190" t="s">
        <v>1958</v>
      </c>
      <c r="G204" s="191">
        <v>12</v>
      </c>
      <c r="H204" s="192">
        <v>900</v>
      </c>
      <c r="I204" s="192">
        <v>828</v>
      </c>
      <c r="J204" s="192">
        <f t="shared" si="2"/>
        <v>72</v>
      </c>
    </row>
    <row r="205" spans="1:10">
      <c r="A205" s="189" t="s">
        <v>1567</v>
      </c>
      <c r="B205" s="189" t="s">
        <v>1959</v>
      </c>
      <c r="C205" s="190" t="s">
        <v>1964</v>
      </c>
      <c r="D205" s="189" t="s">
        <v>1965</v>
      </c>
      <c r="E205" s="189" t="s">
        <v>2018</v>
      </c>
      <c r="F205" s="190" t="s">
        <v>1958</v>
      </c>
      <c r="G205" s="191">
        <v>6</v>
      </c>
      <c r="H205" s="192">
        <v>450</v>
      </c>
      <c r="I205" s="192">
        <v>504</v>
      </c>
      <c r="J205" s="192">
        <f t="shared" si="2"/>
        <v>-54</v>
      </c>
    </row>
    <row r="206" spans="1:10">
      <c r="A206" s="189" t="s">
        <v>943</v>
      </c>
      <c r="B206" s="189" t="s">
        <v>1955</v>
      </c>
      <c r="C206" s="190">
        <v>1040</v>
      </c>
      <c r="D206" s="189" t="s">
        <v>1965</v>
      </c>
      <c r="E206" s="189" t="s">
        <v>2020</v>
      </c>
      <c r="F206" s="190" t="s">
        <v>1958</v>
      </c>
      <c r="G206" s="191">
        <v>16</v>
      </c>
      <c r="H206" s="192">
        <v>2000</v>
      </c>
      <c r="I206" s="192">
        <v>1840</v>
      </c>
      <c r="J206" s="192">
        <f t="shared" si="2"/>
        <v>160</v>
      </c>
    </row>
    <row r="207" spans="1:10">
      <c r="A207" s="189" t="s">
        <v>943</v>
      </c>
      <c r="B207" s="189" t="s">
        <v>1959</v>
      </c>
      <c r="C207" s="190">
        <v>1040</v>
      </c>
      <c r="D207" s="189" t="s">
        <v>1965</v>
      </c>
      <c r="E207" s="189" t="s">
        <v>2020</v>
      </c>
      <c r="F207" s="190" t="s">
        <v>1958</v>
      </c>
      <c r="G207" s="191">
        <v>12</v>
      </c>
      <c r="H207" s="192">
        <v>1500</v>
      </c>
      <c r="I207" s="192">
        <v>1680</v>
      </c>
      <c r="J207" s="192">
        <f t="shared" si="2"/>
        <v>-180</v>
      </c>
    </row>
    <row r="208" spans="1:10">
      <c r="A208" s="189" t="s">
        <v>943</v>
      </c>
      <c r="B208" s="189" t="s">
        <v>1959</v>
      </c>
      <c r="C208" s="190" t="s">
        <v>1978</v>
      </c>
      <c r="D208" s="189" t="s">
        <v>1965</v>
      </c>
      <c r="E208" s="189" t="s">
        <v>2021</v>
      </c>
      <c r="F208" s="190" t="s">
        <v>1958</v>
      </c>
      <c r="G208" s="191">
        <v>3.5</v>
      </c>
      <c r="H208" s="192">
        <v>437.5</v>
      </c>
      <c r="I208" s="192">
        <v>490</v>
      </c>
      <c r="J208" s="192">
        <f t="shared" si="2"/>
        <v>-52.5</v>
      </c>
    </row>
    <row r="209" spans="1:10">
      <c r="A209" s="189" t="s">
        <v>943</v>
      </c>
      <c r="B209" s="189" t="s">
        <v>1955</v>
      </c>
      <c r="C209" s="190">
        <v>1040</v>
      </c>
      <c r="D209" s="189" t="s">
        <v>1965</v>
      </c>
      <c r="E209" s="189" t="s">
        <v>2021</v>
      </c>
      <c r="F209" s="190" t="s">
        <v>1958</v>
      </c>
      <c r="G209" s="191">
        <v>4.5</v>
      </c>
      <c r="H209" s="192">
        <v>562.5</v>
      </c>
      <c r="I209" s="192">
        <v>517.5</v>
      </c>
      <c r="J209" s="192">
        <f t="shared" si="2"/>
        <v>45</v>
      </c>
    </row>
    <row r="210" spans="1:10">
      <c r="A210" s="189" t="s">
        <v>943</v>
      </c>
      <c r="B210" s="189" t="s">
        <v>1955</v>
      </c>
      <c r="C210" s="190">
        <v>1040</v>
      </c>
      <c r="D210" s="189" t="s">
        <v>1965</v>
      </c>
      <c r="E210" s="189" t="s">
        <v>2022</v>
      </c>
      <c r="F210" s="190" t="s">
        <v>1958</v>
      </c>
      <c r="G210" s="191">
        <v>12.9</v>
      </c>
      <c r="H210" s="192">
        <v>1612.5</v>
      </c>
      <c r="I210" s="192">
        <v>1483.5</v>
      </c>
      <c r="J210" s="192">
        <f t="shared" si="2"/>
        <v>129</v>
      </c>
    </row>
    <row r="211" spans="1:10">
      <c r="A211" s="189" t="s">
        <v>943</v>
      </c>
      <c r="B211" s="189" t="s">
        <v>1959</v>
      </c>
      <c r="C211" s="190">
        <v>1120</v>
      </c>
      <c r="D211" s="189" t="s">
        <v>1965</v>
      </c>
      <c r="E211" s="189" t="s">
        <v>2023</v>
      </c>
      <c r="F211" s="193" t="s">
        <v>1961</v>
      </c>
      <c r="G211" s="191">
        <v>9</v>
      </c>
      <c r="H211" s="192">
        <v>1125</v>
      </c>
      <c r="I211" s="192">
        <v>1260</v>
      </c>
      <c r="J211" s="192">
        <f t="shared" si="2"/>
        <v>-135</v>
      </c>
    </row>
    <row r="212" spans="1:10">
      <c r="A212" s="189" t="s">
        <v>943</v>
      </c>
      <c r="B212" s="189" t="s">
        <v>1955</v>
      </c>
      <c r="C212" s="190">
        <v>1120</v>
      </c>
      <c r="D212" s="189" t="s">
        <v>1965</v>
      </c>
      <c r="E212" s="189" t="s">
        <v>2023</v>
      </c>
      <c r="F212" s="193" t="s">
        <v>1961</v>
      </c>
      <c r="G212" s="191">
        <v>2.9</v>
      </c>
      <c r="H212" s="192">
        <v>362.5</v>
      </c>
      <c r="I212" s="192">
        <v>333.5</v>
      </c>
      <c r="J212" s="192">
        <f t="shared" si="2"/>
        <v>29</v>
      </c>
    </row>
    <row r="213" spans="1:10">
      <c r="A213" s="189" t="s">
        <v>943</v>
      </c>
      <c r="B213" s="189" t="s">
        <v>1959</v>
      </c>
      <c r="C213" s="190">
        <v>1040</v>
      </c>
      <c r="D213" s="189" t="s">
        <v>1965</v>
      </c>
      <c r="E213" s="189" t="s">
        <v>2024</v>
      </c>
      <c r="F213" s="190" t="s">
        <v>1958</v>
      </c>
      <c r="G213" s="191">
        <v>5</v>
      </c>
      <c r="H213" s="192">
        <v>625</v>
      </c>
      <c r="I213" s="192">
        <v>700</v>
      </c>
      <c r="J213" s="192">
        <f t="shared" si="2"/>
        <v>-75</v>
      </c>
    </row>
    <row r="214" spans="1:10">
      <c r="A214" s="189" t="s">
        <v>943</v>
      </c>
      <c r="B214" s="189" t="s">
        <v>1955</v>
      </c>
      <c r="C214" s="190">
        <v>1040</v>
      </c>
      <c r="D214" s="189" t="s">
        <v>1965</v>
      </c>
      <c r="E214" s="189" t="s">
        <v>2024</v>
      </c>
      <c r="F214" s="190" t="s">
        <v>1958</v>
      </c>
      <c r="G214" s="191">
        <v>2.6</v>
      </c>
      <c r="H214" s="192">
        <v>325</v>
      </c>
      <c r="I214" s="192">
        <v>299</v>
      </c>
      <c r="J214" s="192">
        <f t="shared" si="2"/>
        <v>26</v>
      </c>
    </row>
    <row r="215" spans="1:10">
      <c r="A215" s="189" t="s">
        <v>1797</v>
      </c>
      <c r="B215" s="189" t="s">
        <v>1963</v>
      </c>
      <c r="C215" s="190">
        <v>1040</v>
      </c>
      <c r="D215" s="189" t="s">
        <v>1965</v>
      </c>
      <c r="E215" s="193" t="s">
        <v>2014</v>
      </c>
      <c r="F215" s="190" t="s">
        <v>1958</v>
      </c>
      <c r="G215" s="191">
        <v>4.5</v>
      </c>
      <c r="H215" s="192">
        <v>450</v>
      </c>
      <c r="I215" s="192">
        <v>607.5</v>
      </c>
      <c r="J215" s="192">
        <f t="shared" si="2"/>
        <v>-157.5</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dimension ref="A1:L17"/>
  <sheetViews>
    <sheetView showGridLines="0" workbookViewId="0">
      <selection activeCell="F4" sqref="F4"/>
    </sheetView>
  </sheetViews>
  <sheetFormatPr defaultRowHeight="15.75"/>
  <cols>
    <col min="1" max="2" width="9.140625" style="142"/>
    <col min="3" max="3" width="22.42578125" style="142" customWidth="1"/>
    <col min="4" max="6" width="9.140625" style="142"/>
    <col min="7" max="7" width="21.7109375" style="142" customWidth="1"/>
    <col min="8" max="16384" width="9.140625" style="142"/>
  </cols>
  <sheetData>
    <row r="1" spans="1:12" ht="26.25">
      <c r="A1" s="144" t="s">
        <v>2032</v>
      </c>
      <c r="E1" s="638" t="s">
        <v>2056</v>
      </c>
    </row>
    <row r="4" spans="1:12">
      <c r="B4" s="177"/>
      <c r="C4" s="177"/>
      <c r="D4" s="177"/>
      <c r="E4" s="177"/>
      <c r="F4" s="177"/>
      <c r="G4" s="177"/>
      <c r="H4" s="177"/>
      <c r="I4" s="177"/>
      <c r="J4" s="177"/>
      <c r="K4" s="177"/>
      <c r="L4" s="177"/>
    </row>
    <row r="5" spans="1:12">
      <c r="B5" s="177"/>
      <c r="C5" s="177"/>
      <c r="D5" s="177"/>
      <c r="E5" s="177"/>
      <c r="F5" s="177"/>
      <c r="G5" s="177"/>
      <c r="H5" s="177"/>
      <c r="I5" s="177"/>
      <c r="J5" s="177"/>
      <c r="K5" s="177"/>
      <c r="L5" s="177"/>
    </row>
    <row r="6" spans="1:12">
      <c r="B6" s="177"/>
      <c r="C6" s="177"/>
      <c r="D6" s="177"/>
      <c r="E6" s="177"/>
      <c r="F6" s="177"/>
      <c r="G6" s="177"/>
      <c r="H6" s="177"/>
      <c r="I6" s="177"/>
      <c r="J6" s="177"/>
      <c r="K6" s="177"/>
      <c r="L6" s="177"/>
    </row>
    <row r="7" spans="1:12">
      <c r="B7" s="177"/>
      <c r="C7" s="178" t="str">
        <f>HYPERLINK("[http://www.carltoncollins.com]","Carlton's Web Site")</f>
        <v>Carlton's Web Site</v>
      </c>
      <c r="D7" s="177"/>
      <c r="E7" s="177"/>
      <c r="F7" s="177"/>
      <c r="G7" s="177"/>
      <c r="H7" s="177"/>
      <c r="I7" s="177"/>
      <c r="J7" s="177"/>
      <c r="K7" s="177"/>
      <c r="L7" s="177"/>
    </row>
    <row r="8" spans="1:12">
      <c r="B8" s="177"/>
      <c r="C8" s="177"/>
      <c r="D8" s="177"/>
      <c r="E8" s="177"/>
      <c r="F8" s="177"/>
      <c r="G8" s="177"/>
      <c r="H8" s="177"/>
      <c r="I8" s="177"/>
      <c r="J8" s="177"/>
      <c r="K8" s="177"/>
      <c r="L8" s="177"/>
    </row>
    <row r="9" spans="1:12">
      <c r="B9" s="177"/>
      <c r="C9" s="178" t="str">
        <f>HYPERLINK(G9)</f>
        <v>http://www.cdw.com</v>
      </c>
      <c r="D9" s="177"/>
      <c r="E9" s="177"/>
      <c r="F9" s="177"/>
      <c r="G9" s="179" t="s">
        <v>2033</v>
      </c>
      <c r="H9" s="177"/>
      <c r="I9" s="177"/>
      <c r="J9" s="177"/>
      <c r="K9" s="177"/>
      <c r="L9" s="177"/>
    </row>
    <row r="10" spans="1:12">
      <c r="B10" s="177"/>
      <c r="C10" s="177"/>
      <c r="D10" s="177"/>
      <c r="E10" s="177"/>
      <c r="F10" s="177"/>
      <c r="G10" s="177"/>
      <c r="H10" s="177"/>
      <c r="I10" s="177"/>
      <c r="J10" s="177"/>
      <c r="K10" s="177"/>
      <c r="L10" s="177"/>
    </row>
    <row r="11" spans="1:12">
      <c r="B11" s="177"/>
      <c r="C11" s="177"/>
      <c r="D11" s="177"/>
      <c r="E11" s="177"/>
      <c r="F11" s="177"/>
      <c r="G11" s="177"/>
      <c r="H11" s="177"/>
      <c r="I11" s="177"/>
      <c r="J11" s="177"/>
      <c r="K11" s="177"/>
      <c r="L11" s="177"/>
    </row>
    <row r="12" spans="1:12">
      <c r="B12" s="177"/>
      <c r="C12" s="178"/>
      <c r="D12" s="177"/>
      <c r="E12" s="177"/>
      <c r="F12" s="177"/>
      <c r="G12" s="180"/>
      <c r="H12" s="177"/>
      <c r="I12" s="177"/>
      <c r="J12" s="177"/>
      <c r="K12" s="177"/>
      <c r="L12" s="177"/>
    </row>
    <row r="13" spans="1:12">
      <c r="B13" s="177"/>
      <c r="C13" s="177"/>
      <c r="D13" s="177"/>
      <c r="E13" s="177"/>
      <c r="F13" s="177"/>
      <c r="G13" s="177"/>
      <c r="H13" s="177"/>
      <c r="I13" s="177"/>
      <c r="J13" s="177"/>
      <c r="K13" s="177"/>
      <c r="L13" s="177"/>
    </row>
    <row r="14" spans="1:12">
      <c r="B14" s="177"/>
      <c r="C14" s="177"/>
      <c r="D14" s="177"/>
      <c r="E14" s="177"/>
      <c r="F14" s="177"/>
      <c r="G14" s="177"/>
      <c r="H14" s="177"/>
      <c r="I14" s="177"/>
      <c r="J14" s="177"/>
      <c r="K14" s="177"/>
      <c r="L14" s="177"/>
    </row>
    <row r="15" spans="1:12">
      <c r="B15" s="177"/>
      <c r="C15" s="177"/>
      <c r="D15" s="177"/>
      <c r="E15" s="177"/>
      <c r="F15" s="177"/>
      <c r="G15" s="180"/>
      <c r="H15" s="177"/>
      <c r="I15" s="177"/>
      <c r="J15" s="177"/>
      <c r="K15" s="177"/>
      <c r="L15" s="177"/>
    </row>
    <row r="16" spans="1:12">
      <c r="B16" s="177"/>
      <c r="C16" s="177"/>
      <c r="D16" s="177"/>
      <c r="E16" s="177"/>
      <c r="F16" s="177"/>
      <c r="G16" s="177"/>
      <c r="H16" s="177"/>
      <c r="I16" s="177"/>
      <c r="J16" s="177"/>
      <c r="K16" s="177"/>
      <c r="L16" s="177"/>
    </row>
    <row r="17" spans="2:12">
      <c r="B17" s="177"/>
      <c r="C17" s="177"/>
      <c r="D17" s="177"/>
      <c r="E17" s="177"/>
      <c r="F17" s="177"/>
      <c r="G17" s="177"/>
      <c r="H17" s="177"/>
      <c r="I17" s="177"/>
      <c r="J17" s="177"/>
      <c r="K17" s="177"/>
      <c r="L17" s="177"/>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dimension ref="A1:J18"/>
  <sheetViews>
    <sheetView showGridLines="0" workbookViewId="0">
      <selection activeCell="F4" sqref="F4"/>
    </sheetView>
  </sheetViews>
  <sheetFormatPr defaultRowHeight="15.75"/>
  <cols>
    <col min="1" max="2" width="9.140625" style="142"/>
    <col min="3" max="3" width="11.28515625" style="142" customWidth="1"/>
    <col min="4" max="5" width="9.140625" style="142"/>
    <col min="6" max="6" width="11" style="142" bestFit="1" customWidth="1"/>
    <col min="7" max="16384" width="9.140625" style="142"/>
  </cols>
  <sheetData>
    <row r="1" spans="1:10" ht="26.25">
      <c r="A1" s="144" t="s">
        <v>2037</v>
      </c>
      <c r="E1" s="638" t="s">
        <v>2056</v>
      </c>
    </row>
    <row r="2" spans="1:10" ht="23.25" customHeight="1"/>
    <row r="3" spans="1:10" ht="16.5" thickBot="1"/>
    <row r="4" spans="1:10">
      <c r="C4" s="168"/>
      <c r="D4" s="169" t="s">
        <v>102</v>
      </c>
      <c r="E4" s="170" t="s">
        <v>103</v>
      </c>
      <c r="F4" s="170" t="s">
        <v>104</v>
      </c>
      <c r="G4" s="170" t="s">
        <v>708</v>
      </c>
      <c r="H4" s="170" t="s">
        <v>709</v>
      </c>
      <c r="I4" s="170" t="s">
        <v>710</v>
      </c>
    </row>
    <row r="5" spans="1:10">
      <c r="C5" s="168" t="s">
        <v>277</v>
      </c>
      <c r="D5" s="171">
        <v>344</v>
      </c>
      <c r="E5" s="172">
        <v>455</v>
      </c>
      <c r="F5" s="172">
        <v>657</v>
      </c>
      <c r="G5" s="172">
        <v>798.33333333333303</v>
      </c>
      <c r="H5" s="172">
        <v>954.83333333333303</v>
      </c>
      <c r="I5" s="172">
        <v>1111.3333333333301</v>
      </c>
    </row>
    <row r="6" spans="1:10">
      <c r="C6" s="168" t="s">
        <v>270</v>
      </c>
      <c r="D6" s="171">
        <v>544</v>
      </c>
      <c r="E6" s="172">
        <v>559</v>
      </c>
      <c r="F6" s="172">
        <v>877</v>
      </c>
      <c r="G6" s="172">
        <v>993</v>
      </c>
      <c r="H6" s="172">
        <v>1159.5</v>
      </c>
      <c r="I6" s="172">
        <v>1326</v>
      </c>
    </row>
    <row r="7" spans="1:10">
      <c r="C7" s="168" t="s">
        <v>278</v>
      </c>
      <c r="D7" s="171">
        <v>522</v>
      </c>
      <c r="E7" s="172">
        <v>466</v>
      </c>
      <c r="F7" s="172">
        <v>688</v>
      </c>
      <c r="G7" s="172">
        <v>724.66666666666697</v>
      </c>
      <c r="H7" s="172">
        <v>807.66666666666697</v>
      </c>
      <c r="I7" s="172">
        <v>890.66666666666697</v>
      </c>
    </row>
    <row r="8" spans="1:10" ht="16.5" thickBot="1">
      <c r="C8" s="168" t="s">
        <v>274</v>
      </c>
      <c r="D8" s="171">
        <v>344</v>
      </c>
      <c r="E8" s="172">
        <v>554</v>
      </c>
      <c r="F8" s="172">
        <v>982</v>
      </c>
      <c r="G8" s="172">
        <v>1264.6666666666699</v>
      </c>
      <c r="H8" s="172">
        <v>1583.6666666666699</v>
      </c>
      <c r="I8" s="172">
        <v>1902.6666666666699</v>
      </c>
    </row>
    <row r="9" spans="1:10" ht="16.5" thickBot="1">
      <c r="C9" s="168"/>
      <c r="D9" s="173">
        <f t="shared" ref="D9:I9" si="0">SUM(D5:D8)</f>
        <v>1754</v>
      </c>
      <c r="E9" s="174">
        <f t="shared" si="0"/>
        <v>2034</v>
      </c>
      <c r="F9" s="174">
        <f t="shared" si="0"/>
        <v>3204</v>
      </c>
      <c r="G9" s="174">
        <f t="shared" si="0"/>
        <v>3780.6666666666697</v>
      </c>
      <c r="H9" s="174">
        <f t="shared" si="0"/>
        <v>4505.6666666666697</v>
      </c>
      <c r="I9" s="174">
        <f t="shared" si="0"/>
        <v>5230.666666666667</v>
      </c>
    </row>
    <row r="12" spans="1:10">
      <c r="C12" s="175" t="e">
        <f>TRANSPOSE(C4:I9)</f>
        <v>#VALUE!</v>
      </c>
      <c r="D12" s="175"/>
      <c r="E12" s="175"/>
      <c r="F12" s="175"/>
      <c r="G12" s="175"/>
      <c r="H12" s="175"/>
    </row>
    <row r="13" spans="1:10">
      <c r="C13" s="175"/>
      <c r="D13" s="175"/>
      <c r="E13" s="175"/>
      <c r="F13" s="175"/>
      <c r="G13" s="175"/>
      <c r="H13" s="175"/>
      <c r="J13" s="176" t="s">
        <v>2036</v>
      </c>
    </row>
    <row r="14" spans="1:10">
      <c r="C14" s="175"/>
      <c r="D14" s="175"/>
      <c r="E14" s="175"/>
      <c r="F14" s="175"/>
      <c r="G14" s="175"/>
      <c r="H14" s="175"/>
      <c r="J14" s="142" t="s">
        <v>2034</v>
      </c>
    </row>
    <row r="15" spans="1:10">
      <c r="C15" s="175"/>
      <c r="D15" s="175"/>
      <c r="E15" s="175"/>
      <c r="F15" s="175"/>
      <c r="G15" s="175"/>
      <c r="H15" s="175"/>
      <c r="J15" s="142" t="s">
        <v>2035</v>
      </c>
    </row>
    <row r="16" spans="1:10">
      <c r="C16" s="175"/>
      <c r="D16" s="175"/>
      <c r="E16" s="175"/>
      <c r="F16" s="175"/>
      <c r="G16" s="175"/>
      <c r="H16" s="175"/>
    </row>
    <row r="17" spans="3:8">
      <c r="C17" s="175"/>
      <c r="D17" s="175"/>
      <c r="E17" s="175"/>
      <c r="F17" s="175"/>
      <c r="G17" s="175"/>
      <c r="H17" s="175"/>
    </row>
    <row r="18" spans="3:8">
      <c r="C18" s="175"/>
      <c r="D18" s="175"/>
      <c r="E18" s="175"/>
      <c r="F18" s="175"/>
      <c r="G18" s="175"/>
      <c r="H18" s="175"/>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dimension ref="A1:H35"/>
  <sheetViews>
    <sheetView showGridLines="0" zoomScale="90" zoomScaleNormal="90" workbookViewId="0">
      <selection activeCell="F4" sqref="F4"/>
    </sheetView>
  </sheetViews>
  <sheetFormatPr defaultRowHeight="15.75"/>
  <cols>
    <col min="1" max="2" width="9.140625" style="142"/>
    <col min="3" max="3" width="22.42578125" style="142" customWidth="1"/>
    <col min="4" max="7" width="13.85546875" style="142" customWidth="1"/>
    <col min="8" max="8" width="29.7109375" style="142" customWidth="1"/>
    <col min="9" max="16384" width="9.140625" style="142"/>
  </cols>
  <sheetData>
    <row r="1" spans="1:8" ht="26.25">
      <c r="A1" s="144" t="s">
        <v>2038</v>
      </c>
      <c r="E1" s="638" t="s">
        <v>2056</v>
      </c>
    </row>
    <row r="3" spans="1:8">
      <c r="B3" s="152" t="s">
        <v>707</v>
      </c>
      <c r="C3" s="153"/>
      <c r="D3" s="154" t="s">
        <v>571</v>
      </c>
      <c r="E3" s="154" t="s">
        <v>572</v>
      </c>
      <c r="F3" s="155" t="s">
        <v>2039</v>
      </c>
      <c r="G3" s="156" t="s">
        <v>2040</v>
      </c>
      <c r="H3" s="157"/>
    </row>
    <row r="4" spans="1:8">
      <c r="B4" s="158" t="s">
        <v>1049</v>
      </c>
      <c r="C4" s="153"/>
      <c r="D4" s="159">
        <v>31800</v>
      </c>
      <c r="E4" s="160">
        <v>38765</v>
      </c>
      <c r="F4" s="161">
        <f>D4-E4</f>
        <v>-6965</v>
      </c>
      <c r="G4" s="143">
        <f>F4/D4</f>
        <v>-0.21902515723270441</v>
      </c>
      <c r="H4" s="162">
        <f>ABS(G4)</f>
        <v>0.21902515723270441</v>
      </c>
    </row>
    <row r="5" spans="1:8">
      <c r="B5" s="158" t="s">
        <v>1050</v>
      </c>
      <c r="C5" s="153"/>
      <c r="D5" s="159">
        <v>1100</v>
      </c>
      <c r="E5" s="160">
        <v>940</v>
      </c>
      <c r="F5" s="161">
        <f t="shared" ref="F5:F32" si="0">D5-E5</f>
        <v>160</v>
      </c>
      <c r="G5" s="143">
        <f t="shared" ref="G5:G32" si="1">F5/D5</f>
        <v>0.14545454545454545</v>
      </c>
      <c r="H5" s="162">
        <f t="shared" ref="H5:H28" si="2">ABS(G5)</f>
        <v>0.14545454545454545</v>
      </c>
    </row>
    <row r="6" spans="1:8">
      <c r="B6" s="158" t="s">
        <v>1051</v>
      </c>
      <c r="C6" s="153"/>
      <c r="D6" s="159">
        <v>4200</v>
      </c>
      <c r="E6" s="160">
        <v>7698</v>
      </c>
      <c r="F6" s="161">
        <f t="shared" si="0"/>
        <v>-3498</v>
      </c>
      <c r="G6" s="143">
        <f t="shared" si="1"/>
        <v>-0.83285714285714285</v>
      </c>
      <c r="H6" s="162">
        <f t="shared" si="2"/>
        <v>0.83285714285714285</v>
      </c>
    </row>
    <row r="7" spans="1:8">
      <c r="B7" s="158" t="s">
        <v>1052</v>
      </c>
      <c r="C7" s="153"/>
      <c r="D7" s="159">
        <v>189200</v>
      </c>
      <c r="E7" s="160">
        <v>266548</v>
      </c>
      <c r="F7" s="161">
        <f t="shared" si="0"/>
        <v>-77348</v>
      </c>
      <c r="G7" s="143">
        <f t="shared" si="1"/>
        <v>-0.40881606765327694</v>
      </c>
      <c r="H7" s="162">
        <f t="shared" si="2"/>
        <v>0.40881606765327694</v>
      </c>
    </row>
    <row r="8" spans="1:8">
      <c r="B8" s="158" t="s">
        <v>1053</v>
      </c>
      <c r="C8" s="153"/>
      <c r="D8" s="159">
        <v>15000</v>
      </c>
      <c r="E8" s="160">
        <v>12825.3</v>
      </c>
      <c r="F8" s="161">
        <f t="shared" si="0"/>
        <v>2174.7000000000007</v>
      </c>
      <c r="G8" s="143">
        <f t="shared" si="1"/>
        <v>0.14498000000000005</v>
      </c>
      <c r="H8" s="162">
        <f t="shared" si="2"/>
        <v>0.14498000000000005</v>
      </c>
    </row>
    <row r="9" spans="1:8">
      <c r="B9" s="158" t="s">
        <v>1054</v>
      </c>
      <c r="C9" s="153"/>
      <c r="D9" s="159">
        <v>25400</v>
      </c>
      <c r="E9" s="160">
        <v>60511.3</v>
      </c>
      <c r="F9" s="161">
        <f t="shared" si="0"/>
        <v>-35111.300000000003</v>
      </c>
      <c r="G9" s="143">
        <f t="shared" si="1"/>
        <v>-1.3823346456692915</v>
      </c>
      <c r="H9" s="162">
        <f t="shared" si="2"/>
        <v>1.3823346456692915</v>
      </c>
    </row>
    <row r="10" spans="1:8">
      <c r="B10" s="158" t="s">
        <v>1055</v>
      </c>
      <c r="C10" s="153"/>
      <c r="D10" s="159">
        <v>4600</v>
      </c>
      <c r="E10" s="160">
        <v>3709.6</v>
      </c>
      <c r="F10" s="161">
        <f t="shared" si="0"/>
        <v>890.40000000000009</v>
      </c>
      <c r="G10" s="143">
        <f t="shared" si="1"/>
        <v>0.19356521739130436</v>
      </c>
      <c r="H10" s="162">
        <f t="shared" si="2"/>
        <v>0.19356521739130436</v>
      </c>
    </row>
    <row r="11" spans="1:8">
      <c r="B11" s="158" t="s">
        <v>1056</v>
      </c>
      <c r="C11" s="153"/>
      <c r="D11" s="159">
        <v>7200</v>
      </c>
      <c r="E11" s="160">
        <v>654.09999999999991</v>
      </c>
      <c r="F11" s="161">
        <f t="shared" si="0"/>
        <v>6545.9</v>
      </c>
      <c r="G11" s="143">
        <f t="shared" si="1"/>
        <v>0.9091527777777777</v>
      </c>
      <c r="H11" s="162">
        <f t="shared" si="2"/>
        <v>0.9091527777777777</v>
      </c>
    </row>
    <row r="12" spans="1:8">
      <c r="B12" s="158" t="s">
        <v>1057</v>
      </c>
      <c r="C12" s="153"/>
      <c r="D12" s="159">
        <v>49800</v>
      </c>
      <c r="E12" s="160">
        <v>39500.5</v>
      </c>
      <c r="F12" s="161">
        <f t="shared" si="0"/>
        <v>10299.5</v>
      </c>
      <c r="G12" s="143">
        <f t="shared" si="1"/>
        <v>0.20681726907630521</v>
      </c>
      <c r="H12" s="162">
        <f t="shared" si="2"/>
        <v>0.20681726907630521</v>
      </c>
    </row>
    <row r="13" spans="1:8">
      <c r="B13" s="158" t="s">
        <v>1058</v>
      </c>
      <c r="C13" s="153"/>
      <c r="D13" s="159">
        <v>107600</v>
      </c>
      <c r="E13" s="160">
        <v>116970</v>
      </c>
      <c r="F13" s="161">
        <f t="shared" si="0"/>
        <v>-9370</v>
      </c>
      <c r="G13" s="143">
        <f t="shared" si="1"/>
        <v>-8.7081784386617095E-2</v>
      </c>
      <c r="H13" s="162">
        <f t="shared" si="2"/>
        <v>8.7081784386617095E-2</v>
      </c>
    </row>
    <row r="14" spans="1:8">
      <c r="B14" s="158" t="s">
        <v>1059</v>
      </c>
      <c r="C14" s="153"/>
      <c r="D14" s="159">
        <v>15400</v>
      </c>
      <c r="E14" s="160">
        <v>11848.699999999999</v>
      </c>
      <c r="F14" s="161">
        <f t="shared" si="0"/>
        <v>3551.3000000000011</v>
      </c>
      <c r="G14" s="143">
        <f t="shared" si="1"/>
        <v>0.23060389610389617</v>
      </c>
      <c r="H14" s="162">
        <f t="shared" si="2"/>
        <v>0.23060389610389617</v>
      </c>
    </row>
    <row r="15" spans="1:8">
      <c r="B15" s="158" t="s">
        <v>1060</v>
      </c>
      <c r="C15" s="153"/>
      <c r="D15" s="159">
        <v>700</v>
      </c>
      <c r="E15" s="160">
        <v>900</v>
      </c>
      <c r="F15" s="161">
        <f t="shared" si="0"/>
        <v>-200</v>
      </c>
      <c r="G15" s="143">
        <f t="shared" si="1"/>
        <v>-0.2857142857142857</v>
      </c>
      <c r="H15" s="162">
        <f t="shared" si="2"/>
        <v>0.2857142857142857</v>
      </c>
    </row>
    <row r="16" spans="1:8">
      <c r="B16" s="158" t="s">
        <v>1061</v>
      </c>
      <c r="C16" s="153"/>
      <c r="D16" s="159">
        <v>241600</v>
      </c>
      <c r="E16" s="160">
        <v>210102.5</v>
      </c>
      <c r="F16" s="161">
        <f t="shared" si="0"/>
        <v>31497.5</v>
      </c>
      <c r="G16" s="143">
        <f t="shared" si="1"/>
        <v>0.13037044701986755</v>
      </c>
      <c r="H16" s="162">
        <f t="shared" si="2"/>
        <v>0.13037044701986755</v>
      </c>
    </row>
    <row r="17" spans="2:8">
      <c r="B17" s="158" t="s">
        <v>1062</v>
      </c>
      <c r="C17" s="153"/>
      <c r="D17" s="159">
        <v>43800</v>
      </c>
      <c r="E17" s="160">
        <v>68618.3</v>
      </c>
      <c r="F17" s="161">
        <f t="shared" si="0"/>
        <v>-24818.300000000003</v>
      </c>
      <c r="G17" s="143">
        <f t="shared" si="1"/>
        <v>-0.56662785388127856</v>
      </c>
      <c r="H17" s="162">
        <f t="shared" si="2"/>
        <v>0.56662785388127856</v>
      </c>
    </row>
    <row r="18" spans="2:8">
      <c r="B18" s="158" t="s">
        <v>1063</v>
      </c>
      <c r="C18" s="153"/>
      <c r="D18" s="159">
        <v>27600</v>
      </c>
      <c r="E18" s="160">
        <v>57897.399999999994</v>
      </c>
      <c r="F18" s="161">
        <f t="shared" si="0"/>
        <v>-30297.399999999994</v>
      </c>
      <c r="G18" s="143">
        <f t="shared" si="1"/>
        <v>-1.0977318840579708</v>
      </c>
      <c r="H18" s="162">
        <f t="shared" si="2"/>
        <v>1.0977318840579708</v>
      </c>
    </row>
    <row r="19" spans="2:8">
      <c r="B19" s="158" t="s">
        <v>1064</v>
      </c>
      <c r="C19" s="153"/>
      <c r="D19" s="159">
        <v>3400</v>
      </c>
      <c r="E19" s="160">
        <v>3915</v>
      </c>
      <c r="F19" s="161">
        <f t="shared" si="0"/>
        <v>-515</v>
      </c>
      <c r="G19" s="143">
        <f t="shared" si="1"/>
        <v>-0.15147058823529411</v>
      </c>
      <c r="H19" s="162">
        <f t="shared" si="2"/>
        <v>0.15147058823529411</v>
      </c>
    </row>
    <row r="20" spans="2:8">
      <c r="B20" s="158" t="s">
        <v>1065</v>
      </c>
      <c r="C20" s="153"/>
      <c r="D20" s="159">
        <v>1513600</v>
      </c>
      <c r="E20" s="160">
        <v>1720000</v>
      </c>
      <c r="F20" s="161">
        <f t="shared" si="0"/>
        <v>-206400</v>
      </c>
      <c r="G20" s="143">
        <f t="shared" si="1"/>
        <v>-0.13636363636363635</v>
      </c>
      <c r="H20" s="162">
        <f t="shared" si="2"/>
        <v>0.13636363636363635</v>
      </c>
    </row>
    <row r="21" spans="2:8">
      <c r="B21" s="158" t="s">
        <v>1067</v>
      </c>
      <c r="C21" s="153"/>
      <c r="D21" s="159">
        <v>14000</v>
      </c>
      <c r="E21" s="160">
        <v>12612.2</v>
      </c>
      <c r="F21" s="161">
        <f t="shared" si="0"/>
        <v>1387.7999999999993</v>
      </c>
      <c r="G21" s="143">
        <f t="shared" si="1"/>
        <v>9.9128571428571371E-2</v>
      </c>
      <c r="H21" s="162">
        <f t="shared" si="2"/>
        <v>9.9128571428571371E-2</v>
      </c>
    </row>
    <row r="22" spans="2:8">
      <c r="B22" s="158" t="s">
        <v>1068</v>
      </c>
      <c r="C22" s="153"/>
      <c r="D22" s="159">
        <v>176900</v>
      </c>
      <c r="E22" s="160">
        <v>435751.2</v>
      </c>
      <c r="F22" s="161">
        <f t="shared" si="0"/>
        <v>-258851.20000000001</v>
      </c>
      <c r="G22" s="143">
        <f t="shared" si="1"/>
        <v>-1.4632628603730922</v>
      </c>
      <c r="H22" s="162">
        <f t="shared" si="2"/>
        <v>1.4632628603730922</v>
      </c>
    </row>
    <row r="23" spans="2:8">
      <c r="B23" s="158" t="s">
        <v>1069</v>
      </c>
      <c r="C23" s="153"/>
      <c r="D23" s="159">
        <v>137100</v>
      </c>
      <c r="E23" s="160">
        <v>138500</v>
      </c>
      <c r="F23" s="161">
        <f t="shared" si="0"/>
        <v>-1400</v>
      </c>
      <c r="G23" s="143">
        <f t="shared" si="1"/>
        <v>-1.0211524434719184E-2</v>
      </c>
      <c r="H23" s="162">
        <f t="shared" si="2"/>
        <v>1.0211524434719184E-2</v>
      </c>
    </row>
    <row r="24" spans="2:8">
      <c r="B24" s="158" t="s">
        <v>1070</v>
      </c>
      <c r="C24" s="153"/>
      <c r="D24" s="159">
        <v>5800</v>
      </c>
      <c r="E24" s="160">
        <v>5950</v>
      </c>
      <c r="F24" s="161">
        <f t="shared" si="0"/>
        <v>-150</v>
      </c>
      <c r="G24" s="143">
        <f t="shared" si="1"/>
        <v>-2.5862068965517241E-2</v>
      </c>
      <c r="H24" s="162">
        <f t="shared" si="2"/>
        <v>2.5862068965517241E-2</v>
      </c>
    </row>
    <row r="25" spans="2:8">
      <c r="B25" s="158" t="s">
        <v>1071</v>
      </c>
      <c r="C25" s="153"/>
      <c r="D25" s="159">
        <v>130000</v>
      </c>
      <c r="E25" s="160">
        <v>132134.39999999999</v>
      </c>
      <c r="F25" s="161">
        <f t="shared" si="0"/>
        <v>-2134.3999999999942</v>
      </c>
      <c r="G25" s="143">
        <f t="shared" si="1"/>
        <v>-1.6418461538461493E-2</v>
      </c>
      <c r="H25" s="162">
        <f t="shared" si="2"/>
        <v>1.6418461538461493E-2</v>
      </c>
    </row>
    <row r="26" spans="2:8">
      <c r="B26" s="158" t="s">
        <v>1072</v>
      </c>
      <c r="C26" s="153"/>
      <c r="D26" s="159">
        <v>1600</v>
      </c>
      <c r="E26" s="160">
        <v>1912.7</v>
      </c>
      <c r="F26" s="161">
        <f t="shared" si="0"/>
        <v>-312.70000000000005</v>
      </c>
      <c r="G26" s="143">
        <f t="shared" si="1"/>
        <v>-0.19543750000000004</v>
      </c>
      <c r="H26" s="162">
        <f t="shared" si="2"/>
        <v>0.19543750000000004</v>
      </c>
    </row>
    <row r="27" spans="2:8">
      <c r="B27" s="158" t="s">
        <v>1073</v>
      </c>
      <c r="C27" s="153"/>
      <c r="D27" s="159">
        <v>10000</v>
      </c>
      <c r="E27" s="160">
        <v>9116.6</v>
      </c>
      <c r="F27" s="161">
        <f t="shared" si="0"/>
        <v>883.39999999999964</v>
      </c>
      <c r="G27" s="143">
        <f t="shared" si="1"/>
        <v>8.833999999999996E-2</v>
      </c>
      <c r="H27" s="162">
        <f t="shared" si="2"/>
        <v>8.833999999999996E-2</v>
      </c>
    </row>
    <row r="28" spans="2:8">
      <c r="B28" s="158" t="s">
        <v>1074</v>
      </c>
      <c r="C28" s="153"/>
      <c r="D28" s="159">
        <v>50600</v>
      </c>
      <c r="E28" s="160">
        <v>41130.699999999997</v>
      </c>
      <c r="F28" s="161">
        <f t="shared" si="0"/>
        <v>9469.3000000000029</v>
      </c>
      <c r="G28" s="143">
        <f t="shared" si="1"/>
        <v>0.18714031620553365</v>
      </c>
      <c r="H28" s="162">
        <f t="shared" si="2"/>
        <v>0.18714031620553365</v>
      </c>
    </row>
    <row r="29" spans="2:8">
      <c r="B29" s="158" t="s">
        <v>2041</v>
      </c>
      <c r="C29" s="153"/>
      <c r="D29" s="159"/>
      <c r="E29" s="160"/>
      <c r="F29" s="161"/>
      <c r="G29" s="143"/>
      <c r="H29" s="162"/>
    </row>
    <row r="30" spans="2:8">
      <c r="B30" s="163" t="s">
        <v>1075</v>
      </c>
      <c r="D30" s="159">
        <v>6500</v>
      </c>
      <c r="E30" s="160">
        <v>5000</v>
      </c>
      <c r="F30" s="161">
        <f t="shared" si="0"/>
        <v>1500</v>
      </c>
      <c r="G30" s="143">
        <f t="shared" si="1"/>
        <v>0.23076923076923078</v>
      </c>
      <c r="H30" s="162"/>
    </row>
    <row r="31" spans="2:8">
      <c r="B31" s="163" t="s">
        <v>176</v>
      </c>
      <c r="D31" s="160">
        <v>2500</v>
      </c>
      <c r="E31" s="160">
        <v>2000</v>
      </c>
      <c r="F31" s="160">
        <f t="shared" si="0"/>
        <v>500</v>
      </c>
      <c r="G31" s="143">
        <f t="shared" si="1"/>
        <v>0.2</v>
      </c>
      <c r="H31" s="162"/>
    </row>
    <row r="32" spans="2:8">
      <c r="B32" s="158" t="s">
        <v>2042</v>
      </c>
      <c r="C32" s="153"/>
      <c r="D32" s="164">
        <v>8400</v>
      </c>
      <c r="E32" s="164">
        <v>7000</v>
      </c>
      <c r="F32" s="164">
        <f t="shared" si="0"/>
        <v>1400</v>
      </c>
      <c r="G32" s="143">
        <f t="shared" si="1"/>
        <v>0.16666666666666666</v>
      </c>
      <c r="H32" s="162"/>
    </row>
    <row r="33" spans="2:8">
      <c r="B33" s="165" t="s">
        <v>723</v>
      </c>
      <c r="D33" s="160"/>
      <c r="E33" s="161"/>
      <c r="F33" s="161"/>
      <c r="H33" s="157"/>
    </row>
    <row r="34" spans="2:8" ht="16.5" thickBot="1">
      <c r="B34" s="165" t="s">
        <v>1076</v>
      </c>
      <c r="D34" s="166">
        <v>2973200</v>
      </c>
      <c r="E34" s="166">
        <v>3401813.5000000009</v>
      </c>
      <c r="F34" s="166">
        <f t="shared" ref="F34" si="3">SUM(F4:F28)+F32</f>
        <v>-589111.5</v>
      </c>
      <c r="G34" s="166"/>
      <c r="H34" s="167"/>
    </row>
    <row r="35" spans="2:8" ht="16.5" thickTop="1"/>
  </sheetData>
  <conditionalFormatting sqref="B3 B5:B34 E34:F34 C3:D34 E3:E33 F3">
    <cfRule type="expression" dxfId="3" priority="5" stopIfTrue="1">
      <formula>"istext(b3:i34)"</formula>
    </cfRule>
  </conditionalFormatting>
  <conditionalFormatting sqref="B4">
    <cfRule type="expression" dxfId="2" priority="4" stopIfTrue="1">
      <formula>"istext(b3)"</formula>
    </cfRule>
  </conditionalFormatting>
  <conditionalFormatting sqref="F31:F32">
    <cfRule type="expression" dxfId="1" priority="3" stopIfTrue="1">
      <formula>"istext(b3:i34)"</formula>
    </cfRule>
  </conditionalFormatting>
  <conditionalFormatting sqref="H34">
    <cfRule type="expression" dxfId="0" priority="2" stopIfTrue="1">
      <formula>"istext(b3:i34)"</formula>
    </cfRule>
  </conditionalFormatting>
  <conditionalFormatting sqref="H4:H28">
    <cfRule type="dataBar" priority="1">
      <dataBar>
        <cfvo type="min" val="0"/>
        <cfvo type="max" val="0"/>
        <color rgb="FF008AEF"/>
      </dataBar>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dimension ref="A1:E15"/>
  <sheetViews>
    <sheetView showGridLines="0" workbookViewId="0">
      <selection activeCell="F4" sqref="F4"/>
    </sheetView>
  </sheetViews>
  <sheetFormatPr defaultRowHeight="15.75"/>
  <cols>
    <col min="1" max="2" width="9.140625" style="142"/>
    <col min="3" max="3" width="22.42578125" style="142" customWidth="1"/>
    <col min="4" max="16384" width="9.140625" style="142"/>
  </cols>
  <sheetData>
    <row r="1" spans="1:5" ht="26.25">
      <c r="A1" s="144" t="s">
        <v>2043</v>
      </c>
      <c r="E1" s="638" t="s">
        <v>2056</v>
      </c>
    </row>
    <row r="6" spans="1:5">
      <c r="B6" s="150">
        <f ca="1">RAND()</f>
        <v>1.0653721783508985E-2</v>
      </c>
      <c r="D6" s="151">
        <f ca="1">B6*1000</f>
        <v>10.653721783508985</v>
      </c>
    </row>
    <row r="7" spans="1:5">
      <c r="B7" s="150">
        <f t="shared" ref="B7:B15" ca="1" si="0">RAND()</f>
        <v>0.28667136093409473</v>
      </c>
      <c r="D7" s="151">
        <f t="shared" ref="D7:D15" ca="1" si="1">B7*1000</f>
        <v>286.67136093409471</v>
      </c>
    </row>
    <row r="8" spans="1:5">
      <c r="B8" s="150">
        <f t="shared" ca="1" si="0"/>
        <v>0.60147623224797719</v>
      </c>
      <c r="D8" s="151">
        <f t="shared" ca="1" si="1"/>
        <v>601.47623224797724</v>
      </c>
    </row>
    <row r="9" spans="1:5">
      <c r="B9" s="150">
        <f t="shared" ca="1" si="0"/>
        <v>0.42868856714438852</v>
      </c>
      <c r="D9" s="151">
        <f t="shared" ca="1" si="1"/>
        <v>428.68856714438851</v>
      </c>
    </row>
    <row r="10" spans="1:5">
      <c r="B10" s="150">
        <f t="shared" ca="1" si="0"/>
        <v>0.38011175267843411</v>
      </c>
      <c r="D10" s="151">
        <f t="shared" ca="1" si="1"/>
        <v>380.11175267843413</v>
      </c>
    </row>
    <row r="11" spans="1:5">
      <c r="B11" s="150">
        <f t="shared" ca="1" si="0"/>
        <v>0.77411170513208027</v>
      </c>
      <c r="D11" s="151">
        <f t="shared" ca="1" si="1"/>
        <v>774.11170513208026</v>
      </c>
    </row>
    <row r="12" spans="1:5">
      <c r="B12" s="150">
        <f t="shared" ca="1" si="0"/>
        <v>0.85865611943159781</v>
      </c>
      <c r="D12" s="151">
        <f t="shared" ca="1" si="1"/>
        <v>858.65611943159786</v>
      </c>
    </row>
    <row r="13" spans="1:5">
      <c r="B13" s="150">
        <f t="shared" ca="1" si="0"/>
        <v>0.13615874912109049</v>
      </c>
      <c r="D13" s="151">
        <f t="shared" ca="1" si="1"/>
        <v>136.15874912109049</v>
      </c>
    </row>
    <row r="14" spans="1:5">
      <c r="B14" s="150">
        <f t="shared" ca="1" si="0"/>
        <v>0.45037036112271345</v>
      </c>
      <c r="D14" s="151">
        <f t="shared" ca="1" si="1"/>
        <v>450.37036112271346</v>
      </c>
    </row>
    <row r="15" spans="1:5">
      <c r="B15" s="150">
        <f t="shared" ca="1" si="0"/>
        <v>0.88512635158252317</v>
      </c>
      <c r="D15" s="151">
        <f t="shared" ca="1" si="1"/>
        <v>885.12635158252317</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dimension ref="A1:H68"/>
  <sheetViews>
    <sheetView showGridLines="0" workbookViewId="0">
      <selection activeCell="F4" sqref="F4"/>
    </sheetView>
  </sheetViews>
  <sheetFormatPr defaultRowHeight="15.75"/>
  <cols>
    <col min="1" max="1" width="9.140625" style="142"/>
    <col min="2" max="2" width="25.7109375" style="142" customWidth="1"/>
    <col min="3" max="3" width="13.5703125" style="142" customWidth="1"/>
    <col min="4" max="16384" width="9.140625" style="142"/>
  </cols>
  <sheetData>
    <row r="1" spans="1:8" ht="26.25">
      <c r="A1" s="144" t="s">
        <v>2044</v>
      </c>
      <c r="E1" s="638" t="s">
        <v>2056</v>
      </c>
    </row>
    <row r="3" spans="1:8">
      <c r="B3" s="142" t="s">
        <v>2045</v>
      </c>
      <c r="C3" s="145">
        <v>2291</v>
      </c>
    </row>
    <row r="4" spans="1:8">
      <c r="B4" s="142" t="s">
        <v>2046</v>
      </c>
      <c r="C4" s="145">
        <v>6638</v>
      </c>
    </row>
    <row r="5" spans="1:8">
      <c r="B5" s="142" t="s">
        <v>2047</v>
      </c>
      <c r="C5" s="145">
        <f>C4-C3</f>
        <v>4347</v>
      </c>
    </row>
    <row r="6" spans="1:8">
      <c r="B6" s="146" t="s">
        <v>2048</v>
      </c>
      <c r="C6" s="145">
        <f>VLOOKUP(C5,E43:G68,3)</f>
        <v>98</v>
      </c>
    </row>
    <row r="9" spans="1:8">
      <c r="C9" s="142">
        <v>1</v>
      </c>
      <c r="D9" s="142">
        <f ca="1">RANDBETWEEN($C$3,$C$4)</f>
        <v>3571</v>
      </c>
      <c r="E9" s="142">
        <f t="shared" ref="E9:H9" ca="1" si="0">RANDBETWEEN($C$3,$C$4)</f>
        <v>3207</v>
      </c>
      <c r="F9" s="142">
        <f t="shared" ca="1" si="0"/>
        <v>6478</v>
      </c>
      <c r="G9" s="142">
        <f t="shared" ca="1" si="0"/>
        <v>4067</v>
      </c>
      <c r="H9" s="142">
        <f t="shared" ca="1" si="0"/>
        <v>2334</v>
      </c>
    </row>
    <row r="10" spans="1:8">
      <c r="C10" s="142">
        <v>2</v>
      </c>
      <c r="D10" s="142">
        <f t="shared" ref="D10:H28" ca="1" si="1">RANDBETWEEN($C$3,$C$4)</f>
        <v>3686</v>
      </c>
      <c r="E10" s="142">
        <f t="shared" ca="1" si="1"/>
        <v>2537</v>
      </c>
      <c r="F10" s="142">
        <f t="shared" ca="1" si="1"/>
        <v>5274</v>
      </c>
      <c r="G10" s="142">
        <f t="shared" ca="1" si="1"/>
        <v>6342</v>
      </c>
      <c r="H10" s="142">
        <f t="shared" ca="1" si="1"/>
        <v>5422</v>
      </c>
    </row>
    <row r="11" spans="1:8">
      <c r="C11" s="142">
        <v>3</v>
      </c>
      <c r="D11" s="142">
        <f t="shared" ca="1" si="1"/>
        <v>5398</v>
      </c>
      <c r="E11" s="142">
        <f t="shared" ca="1" si="1"/>
        <v>2873</v>
      </c>
      <c r="F11" s="142">
        <f t="shared" ca="1" si="1"/>
        <v>4120</v>
      </c>
      <c r="G11" s="142">
        <f t="shared" ca="1" si="1"/>
        <v>5858</v>
      </c>
      <c r="H11" s="142">
        <f t="shared" ca="1" si="1"/>
        <v>3614</v>
      </c>
    </row>
    <row r="12" spans="1:8">
      <c r="C12" s="142">
        <v>4</v>
      </c>
      <c r="D12" s="142">
        <f t="shared" ca="1" si="1"/>
        <v>3516</v>
      </c>
      <c r="E12" s="142">
        <f t="shared" ca="1" si="1"/>
        <v>6045</v>
      </c>
      <c r="F12" s="142">
        <f t="shared" ca="1" si="1"/>
        <v>4978</v>
      </c>
      <c r="G12" s="142">
        <f t="shared" ca="1" si="1"/>
        <v>4374</v>
      </c>
      <c r="H12" s="142">
        <f t="shared" ca="1" si="1"/>
        <v>6383</v>
      </c>
    </row>
    <row r="13" spans="1:8">
      <c r="C13" s="142">
        <v>5</v>
      </c>
      <c r="D13" s="142">
        <f t="shared" ca="1" si="1"/>
        <v>6468</v>
      </c>
      <c r="E13" s="142">
        <f t="shared" ca="1" si="1"/>
        <v>2845</v>
      </c>
      <c r="F13" s="142">
        <f t="shared" ca="1" si="1"/>
        <v>4000</v>
      </c>
      <c r="G13" s="142">
        <f t="shared" ca="1" si="1"/>
        <v>5893</v>
      </c>
      <c r="H13" s="142">
        <f t="shared" ca="1" si="1"/>
        <v>5516</v>
      </c>
    </row>
    <row r="14" spans="1:8">
      <c r="C14" s="142">
        <v>6</v>
      </c>
      <c r="D14" s="142">
        <f t="shared" ca="1" si="1"/>
        <v>4893</v>
      </c>
      <c r="E14" s="142">
        <f t="shared" ca="1" si="1"/>
        <v>5550</v>
      </c>
      <c r="F14" s="142">
        <f t="shared" ca="1" si="1"/>
        <v>5685</v>
      </c>
      <c r="G14" s="142">
        <f t="shared" ca="1" si="1"/>
        <v>6047</v>
      </c>
      <c r="H14" s="142">
        <f t="shared" ca="1" si="1"/>
        <v>6046</v>
      </c>
    </row>
    <row r="15" spans="1:8">
      <c r="C15" s="142">
        <v>7</v>
      </c>
      <c r="D15" s="142">
        <f t="shared" ca="1" si="1"/>
        <v>3012</v>
      </c>
      <c r="E15" s="142">
        <f t="shared" ca="1" si="1"/>
        <v>2550</v>
      </c>
      <c r="F15" s="142">
        <f t="shared" ca="1" si="1"/>
        <v>4607</v>
      </c>
      <c r="G15" s="142">
        <f t="shared" ca="1" si="1"/>
        <v>2725</v>
      </c>
      <c r="H15" s="142">
        <f t="shared" ca="1" si="1"/>
        <v>5894</v>
      </c>
    </row>
    <row r="16" spans="1:8">
      <c r="C16" s="142">
        <v>8</v>
      </c>
      <c r="D16" s="142">
        <f t="shared" ca="1" si="1"/>
        <v>3931</v>
      </c>
      <c r="E16" s="142">
        <f t="shared" ca="1" si="1"/>
        <v>3820</v>
      </c>
      <c r="F16" s="142">
        <f t="shared" ca="1" si="1"/>
        <v>2650</v>
      </c>
      <c r="G16" s="142">
        <f t="shared" ca="1" si="1"/>
        <v>2663</v>
      </c>
      <c r="H16" s="142">
        <f t="shared" ca="1" si="1"/>
        <v>5746</v>
      </c>
    </row>
    <row r="17" spans="3:8">
      <c r="C17" s="142">
        <v>9</v>
      </c>
      <c r="D17" s="142">
        <f t="shared" ca="1" si="1"/>
        <v>5440</v>
      </c>
      <c r="E17" s="142">
        <f t="shared" ca="1" si="1"/>
        <v>2405</v>
      </c>
      <c r="F17" s="142">
        <f t="shared" ca="1" si="1"/>
        <v>4206</v>
      </c>
      <c r="G17" s="142">
        <f t="shared" ca="1" si="1"/>
        <v>5642</v>
      </c>
      <c r="H17" s="142">
        <f t="shared" ca="1" si="1"/>
        <v>3708</v>
      </c>
    </row>
    <row r="18" spans="3:8">
      <c r="C18" s="142">
        <v>10</v>
      </c>
      <c r="D18" s="142">
        <f t="shared" ca="1" si="1"/>
        <v>2293</v>
      </c>
      <c r="E18" s="142">
        <f t="shared" ca="1" si="1"/>
        <v>6135</v>
      </c>
      <c r="F18" s="142">
        <f t="shared" ca="1" si="1"/>
        <v>2310</v>
      </c>
      <c r="G18" s="142">
        <f t="shared" ca="1" si="1"/>
        <v>4955</v>
      </c>
      <c r="H18" s="142">
        <f t="shared" ca="1" si="1"/>
        <v>5398</v>
      </c>
    </row>
    <row r="19" spans="3:8">
      <c r="C19" s="142">
        <v>11</v>
      </c>
      <c r="D19" s="142">
        <f t="shared" ca="1" si="1"/>
        <v>3252</v>
      </c>
      <c r="E19" s="142">
        <f t="shared" ca="1" si="1"/>
        <v>3563</v>
      </c>
      <c r="F19" s="142">
        <f t="shared" ca="1" si="1"/>
        <v>2838</v>
      </c>
      <c r="G19" s="142">
        <f t="shared" ca="1" si="1"/>
        <v>4910</v>
      </c>
      <c r="H19" s="142">
        <f t="shared" ca="1" si="1"/>
        <v>4837</v>
      </c>
    </row>
    <row r="20" spans="3:8">
      <c r="C20" s="142">
        <v>12</v>
      </c>
      <c r="D20" s="142">
        <f t="shared" ca="1" si="1"/>
        <v>5931</v>
      </c>
      <c r="E20" s="142">
        <f t="shared" ca="1" si="1"/>
        <v>5330</v>
      </c>
      <c r="F20" s="142">
        <f t="shared" ca="1" si="1"/>
        <v>4227</v>
      </c>
      <c r="G20" s="142">
        <f t="shared" ca="1" si="1"/>
        <v>4112</v>
      </c>
      <c r="H20" s="142">
        <f t="shared" ca="1" si="1"/>
        <v>6582</v>
      </c>
    </row>
    <row r="21" spans="3:8">
      <c r="C21" s="142">
        <v>13</v>
      </c>
      <c r="D21" s="142">
        <f t="shared" ca="1" si="1"/>
        <v>3746</v>
      </c>
      <c r="E21" s="142">
        <f t="shared" ca="1" si="1"/>
        <v>4541</v>
      </c>
      <c r="F21" s="142">
        <f t="shared" ca="1" si="1"/>
        <v>6031</v>
      </c>
      <c r="G21" s="142">
        <f t="shared" ca="1" si="1"/>
        <v>6613</v>
      </c>
      <c r="H21" s="142">
        <f t="shared" ca="1" si="1"/>
        <v>3556</v>
      </c>
    </row>
    <row r="22" spans="3:8">
      <c r="C22" s="142">
        <v>14</v>
      </c>
      <c r="D22" s="142">
        <f t="shared" ca="1" si="1"/>
        <v>4556</v>
      </c>
      <c r="E22" s="142">
        <f t="shared" ca="1" si="1"/>
        <v>5318</v>
      </c>
      <c r="F22" s="142">
        <f t="shared" ca="1" si="1"/>
        <v>4294</v>
      </c>
      <c r="G22" s="142">
        <f t="shared" ca="1" si="1"/>
        <v>2515</v>
      </c>
      <c r="H22" s="142">
        <f t="shared" ca="1" si="1"/>
        <v>4302</v>
      </c>
    </row>
    <row r="23" spans="3:8">
      <c r="C23" s="142">
        <v>15</v>
      </c>
      <c r="D23" s="142">
        <f t="shared" ca="1" si="1"/>
        <v>3894</v>
      </c>
      <c r="E23" s="142">
        <f t="shared" ca="1" si="1"/>
        <v>4209</v>
      </c>
      <c r="F23" s="142">
        <f t="shared" ca="1" si="1"/>
        <v>6148</v>
      </c>
      <c r="G23" s="142">
        <f t="shared" ca="1" si="1"/>
        <v>6628</v>
      </c>
      <c r="H23" s="142">
        <f t="shared" ca="1" si="1"/>
        <v>6411</v>
      </c>
    </row>
    <row r="24" spans="3:8">
      <c r="C24" s="142">
        <v>16</v>
      </c>
      <c r="D24" s="142">
        <f t="shared" ca="1" si="1"/>
        <v>6293</v>
      </c>
      <c r="E24" s="142">
        <f t="shared" ca="1" si="1"/>
        <v>5265</v>
      </c>
      <c r="F24" s="142">
        <f t="shared" ca="1" si="1"/>
        <v>2759</v>
      </c>
      <c r="G24" s="142">
        <f t="shared" ca="1" si="1"/>
        <v>3605</v>
      </c>
      <c r="H24" s="142">
        <f t="shared" ca="1" si="1"/>
        <v>2765</v>
      </c>
    </row>
    <row r="25" spans="3:8">
      <c r="C25" s="142">
        <v>17</v>
      </c>
      <c r="D25" s="142">
        <f t="shared" ca="1" si="1"/>
        <v>5131</v>
      </c>
      <c r="E25" s="142">
        <f t="shared" ca="1" si="1"/>
        <v>3316</v>
      </c>
      <c r="F25" s="142">
        <f t="shared" ca="1" si="1"/>
        <v>4911</v>
      </c>
      <c r="G25" s="142">
        <f t="shared" ca="1" si="1"/>
        <v>3771</v>
      </c>
      <c r="H25" s="142">
        <f t="shared" ca="1" si="1"/>
        <v>5104</v>
      </c>
    </row>
    <row r="26" spans="3:8">
      <c r="C26" s="142">
        <v>18</v>
      </c>
      <c r="D26" s="142">
        <f t="shared" ca="1" si="1"/>
        <v>3428</v>
      </c>
      <c r="E26" s="142">
        <f t="shared" ca="1" si="1"/>
        <v>5714</v>
      </c>
      <c r="F26" s="142">
        <f t="shared" ca="1" si="1"/>
        <v>5817</v>
      </c>
      <c r="G26" s="142">
        <f t="shared" ca="1" si="1"/>
        <v>2725</v>
      </c>
      <c r="H26" s="142">
        <f t="shared" ca="1" si="1"/>
        <v>4027</v>
      </c>
    </row>
    <row r="27" spans="3:8">
      <c r="C27" s="142">
        <v>19</v>
      </c>
      <c r="D27" s="142">
        <f t="shared" ca="1" si="1"/>
        <v>3431</v>
      </c>
      <c r="E27" s="142">
        <f t="shared" ca="1" si="1"/>
        <v>4009</v>
      </c>
      <c r="F27" s="142">
        <f t="shared" ca="1" si="1"/>
        <v>3865</v>
      </c>
      <c r="G27" s="142">
        <f t="shared" ca="1" si="1"/>
        <v>5833</v>
      </c>
      <c r="H27" s="142">
        <f t="shared" ca="1" si="1"/>
        <v>4551</v>
      </c>
    </row>
    <row r="28" spans="3:8">
      <c r="C28" s="142">
        <v>20</v>
      </c>
      <c r="D28" s="142">
        <f t="shared" ca="1" si="1"/>
        <v>5440</v>
      </c>
      <c r="E28" s="142">
        <f t="shared" ca="1" si="1"/>
        <v>6104</v>
      </c>
      <c r="F28" s="142">
        <f t="shared" ca="1" si="1"/>
        <v>4689</v>
      </c>
      <c r="G28" s="142">
        <f t="shared" ca="1" si="1"/>
        <v>4181</v>
      </c>
      <c r="H28" s="142">
        <f t="shared" ca="1" si="1"/>
        <v>3540</v>
      </c>
    </row>
    <row r="38" spans="2:7">
      <c r="B38" s="142" t="s">
        <v>2052</v>
      </c>
    </row>
    <row r="40" spans="2:7">
      <c r="B40" s="657" t="s">
        <v>2049</v>
      </c>
      <c r="C40" s="658"/>
      <c r="D40" s="658"/>
      <c r="E40" s="658"/>
      <c r="F40" s="658"/>
      <c r="G40" s="659"/>
    </row>
    <row r="41" spans="2:7">
      <c r="B41" s="660" t="s">
        <v>2050</v>
      </c>
      <c r="C41" s="661"/>
      <c r="D41" s="661"/>
      <c r="E41" s="661"/>
      <c r="F41" s="661"/>
      <c r="G41" s="662"/>
    </row>
    <row r="42" spans="2:7">
      <c r="B42" s="147"/>
      <c r="C42" s="663" t="s">
        <v>2048</v>
      </c>
      <c r="D42" s="664"/>
      <c r="E42" s="147"/>
      <c r="F42" s="663" t="s">
        <v>2048</v>
      </c>
      <c r="G42" s="664"/>
    </row>
    <row r="43" spans="2:7" ht="24.75">
      <c r="B43" s="148" t="s">
        <v>2051</v>
      </c>
      <c r="C43" s="149">
        <v>0.05</v>
      </c>
      <c r="D43" s="149">
        <v>0.1</v>
      </c>
      <c r="E43" s="148" t="s">
        <v>2051</v>
      </c>
      <c r="F43" s="149">
        <v>0.05</v>
      </c>
      <c r="G43" s="149">
        <v>0.1</v>
      </c>
    </row>
    <row r="44" spans="2:7">
      <c r="B44" s="147">
        <v>10</v>
      </c>
      <c r="C44" s="147">
        <v>10</v>
      </c>
      <c r="D44" s="147"/>
      <c r="E44" s="147">
        <v>275</v>
      </c>
      <c r="F44" s="147">
        <v>163</v>
      </c>
      <c r="G44" s="147">
        <v>74</v>
      </c>
    </row>
    <row r="45" spans="2:7">
      <c r="B45" s="147">
        <v>15</v>
      </c>
      <c r="C45" s="147">
        <v>14</v>
      </c>
      <c r="D45" s="147"/>
      <c r="E45" s="147">
        <v>300</v>
      </c>
      <c r="F45" s="147">
        <v>172</v>
      </c>
      <c r="G45" s="147">
        <v>76</v>
      </c>
    </row>
    <row r="46" spans="2:7">
      <c r="B46" s="147">
        <v>20</v>
      </c>
      <c r="C46" s="147">
        <v>19</v>
      </c>
      <c r="D46" s="147"/>
      <c r="E46" s="147">
        <v>325</v>
      </c>
      <c r="F46" s="147">
        <v>180</v>
      </c>
      <c r="G46" s="147">
        <v>77</v>
      </c>
    </row>
    <row r="47" spans="2:7">
      <c r="B47" s="147">
        <v>25</v>
      </c>
      <c r="C47" s="147">
        <v>24</v>
      </c>
      <c r="D47" s="147"/>
      <c r="E47" s="147">
        <v>350</v>
      </c>
      <c r="F47" s="147">
        <v>187</v>
      </c>
      <c r="G47" s="147">
        <v>78</v>
      </c>
    </row>
    <row r="48" spans="2:7">
      <c r="B48" s="147">
        <v>30</v>
      </c>
      <c r="C48" s="147">
        <v>28</v>
      </c>
      <c r="D48" s="147"/>
      <c r="E48" s="147">
        <v>375</v>
      </c>
      <c r="F48" s="147">
        <v>194</v>
      </c>
      <c r="G48" s="147">
        <v>80</v>
      </c>
    </row>
    <row r="49" spans="2:7">
      <c r="B49" s="147">
        <v>35</v>
      </c>
      <c r="C49" s="147">
        <v>32</v>
      </c>
      <c r="D49" s="147"/>
      <c r="E49" s="147">
        <v>400</v>
      </c>
      <c r="F49" s="147">
        <v>201</v>
      </c>
      <c r="G49" s="147">
        <v>81</v>
      </c>
    </row>
    <row r="50" spans="2:7">
      <c r="B50" s="147">
        <v>40</v>
      </c>
      <c r="C50" s="147">
        <v>36</v>
      </c>
      <c r="D50" s="147"/>
      <c r="E50" s="147">
        <v>425</v>
      </c>
      <c r="F50" s="147">
        <v>207</v>
      </c>
      <c r="G50" s="147">
        <v>82</v>
      </c>
    </row>
    <row r="51" spans="2:7">
      <c r="B51" s="147">
        <v>45</v>
      </c>
      <c r="C51" s="147">
        <v>40</v>
      </c>
      <c r="D51" s="147"/>
      <c r="E51" s="147">
        <v>450</v>
      </c>
      <c r="F51" s="147">
        <v>212</v>
      </c>
      <c r="G51" s="147">
        <v>82</v>
      </c>
    </row>
    <row r="52" spans="2:7">
      <c r="B52" s="147">
        <v>50</v>
      </c>
      <c r="C52" s="147">
        <v>44</v>
      </c>
      <c r="D52" s="147"/>
      <c r="E52" s="147">
        <v>475</v>
      </c>
      <c r="F52" s="147">
        <v>218</v>
      </c>
      <c r="G52" s="147">
        <v>83</v>
      </c>
    </row>
    <row r="53" spans="2:7">
      <c r="B53" s="147">
        <v>55</v>
      </c>
      <c r="C53" s="147">
        <v>48</v>
      </c>
      <c r="D53" s="147"/>
      <c r="E53" s="147">
        <v>500</v>
      </c>
      <c r="F53" s="147">
        <v>222</v>
      </c>
      <c r="G53" s="147">
        <v>83</v>
      </c>
    </row>
    <row r="54" spans="2:7">
      <c r="B54" s="147">
        <v>60</v>
      </c>
      <c r="C54" s="147">
        <v>52</v>
      </c>
      <c r="D54" s="147"/>
      <c r="E54" s="147">
        <v>1000</v>
      </c>
      <c r="F54" s="147">
        <v>286</v>
      </c>
      <c r="G54" s="147">
        <v>91</v>
      </c>
    </row>
    <row r="55" spans="2:7">
      <c r="B55" s="147">
        <v>65</v>
      </c>
      <c r="C55" s="147">
        <v>56</v>
      </c>
      <c r="D55" s="147"/>
      <c r="E55" s="147">
        <v>2000</v>
      </c>
      <c r="F55" s="147">
        <v>333</v>
      </c>
      <c r="G55" s="147">
        <v>95</v>
      </c>
    </row>
    <row r="56" spans="2:7">
      <c r="B56" s="147">
        <v>70</v>
      </c>
      <c r="C56" s="147">
        <v>59</v>
      </c>
      <c r="D56" s="147"/>
      <c r="E56" s="147">
        <v>3000</v>
      </c>
      <c r="F56" s="147">
        <v>353</v>
      </c>
      <c r="G56" s="147">
        <v>97</v>
      </c>
    </row>
    <row r="57" spans="2:7">
      <c r="B57" s="147">
        <v>75</v>
      </c>
      <c r="C57" s="147">
        <v>63</v>
      </c>
      <c r="D57" s="147"/>
      <c r="E57" s="147">
        <v>4000</v>
      </c>
      <c r="F57" s="147">
        <v>364</v>
      </c>
      <c r="G57" s="147">
        <v>98</v>
      </c>
    </row>
    <row r="58" spans="2:7">
      <c r="B58" s="147">
        <v>80</v>
      </c>
      <c r="C58" s="147">
        <v>66</v>
      </c>
      <c r="D58" s="147"/>
      <c r="E58" s="147">
        <v>5000</v>
      </c>
      <c r="F58" s="147">
        <v>370</v>
      </c>
      <c r="G58" s="147">
        <v>98</v>
      </c>
    </row>
    <row r="59" spans="2:7">
      <c r="B59" s="147">
        <v>85</v>
      </c>
      <c r="C59" s="147">
        <v>70</v>
      </c>
      <c r="D59" s="147"/>
      <c r="E59" s="147">
        <v>6000</v>
      </c>
      <c r="F59" s="147">
        <v>375</v>
      </c>
      <c r="G59" s="147">
        <v>98</v>
      </c>
    </row>
    <row r="60" spans="2:7">
      <c r="B60" s="147">
        <v>90</v>
      </c>
      <c r="C60" s="147">
        <v>73</v>
      </c>
      <c r="D60" s="147"/>
      <c r="E60" s="147">
        <v>7000</v>
      </c>
      <c r="F60" s="147">
        <v>378</v>
      </c>
      <c r="G60" s="147">
        <v>99</v>
      </c>
    </row>
    <row r="61" spans="2:7">
      <c r="B61" s="147">
        <v>95</v>
      </c>
      <c r="C61" s="147">
        <v>76</v>
      </c>
      <c r="D61" s="147"/>
      <c r="E61" s="147">
        <v>8000</v>
      </c>
      <c r="F61" s="147">
        <v>381</v>
      </c>
      <c r="G61" s="147">
        <v>99</v>
      </c>
    </row>
    <row r="62" spans="2:7">
      <c r="B62" s="147">
        <v>100</v>
      </c>
      <c r="C62" s="147">
        <v>81</v>
      </c>
      <c r="D62" s="147">
        <v>51</v>
      </c>
      <c r="E62" s="147">
        <v>9000</v>
      </c>
      <c r="F62" s="147">
        <v>383</v>
      </c>
      <c r="G62" s="147">
        <v>99</v>
      </c>
    </row>
    <row r="63" spans="2:7">
      <c r="B63" s="147">
        <v>125</v>
      </c>
      <c r="C63" s="147">
        <v>96</v>
      </c>
      <c r="D63" s="147">
        <v>56</v>
      </c>
      <c r="E63" s="147">
        <v>10000</v>
      </c>
      <c r="F63" s="147">
        <v>385</v>
      </c>
      <c r="G63" s="147">
        <v>99</v>
      </c>
    </row>
    <row r="64" spans="2:7">
      <c r="B64" s="147">
        <v>150</v>
      </c>
      <c r="C64" s="147">
        <v>110</v>
      </c>
      <c r="D64" s="147">
        <v>61</v>
      </c>
      <c r="E64" s="147">
        <v>15000</v>
      </c>
      <c r="F64" s="147">
        <v>390</v>
      </c>
      <c r="G64" s="147">
        <v>99</v>
      </c>
    </row>
    <row r="65" spans="2:7">
      <c r="B65" s="147">
        <v>175</v>
      </c>
      <c r="C65" s="147">
        <v>122</v>
      </c>
      <c r="D65" s="147">
        <v>64</v>
      </c>
      <c r="E65" s="147">
        <v>20000</v>
      </c>
      <c r="F65" s="147">
        <v>392</v>
      </c>
      <c r="G65" s="147">
        <v>100</v>
      </c>
    </row>
    <row r="66" spans="2:7">
      <c r="B66" s="147">
        <v>200</v>
      </c>
      <c r="C66" s="147">
        <v>134</v>
      </c>
      <c r="D66" s="147">
        <v>67</v>
      </c>
      <c r="E66" s="147">
        <v>25000</v>
      </c>
      <c r="F66" s="147">
        <v>394</v>
      </c>
      <c r="G66" s="147">
        <v>100</v>
      </c>
    </row>
    <row r="67" spans="2:7">
      <c r="B67" s="147">
        <v>225</v>
      </c>
      <c r="C67" s="147">
        <v>144</v>
      </c>
      <c r="D67" s="147">
        <v>70</v>
      </c>
      <c r="E67" s="147">
        <v>50000</v>
      </c>
      <c r="F67" s="147">
        <v>397</v>
      </c>
      <c r="G67" s="147">
        <v>100</v>
      </c>
    </row>
    <row r="68" spans="2:7">
      <c r="B68" s="147">
        <v>250</v>
      </c>
      <c r="C68" s="147">
        <v>154</v>
      </c>
      <c r="D68" s="147">
        <v>72</v>
      </c>
      <c r="E68" s="147">
        <v>100000</v>
      </c>
      <c r="F68" s="147">
        <v>398</v>
      </c>
      <c r="G68" s="147">
        <v>100</v>
      </c>
    </row>
  </sheetData>
  <mergeCells count="4">
    <mergeCell ref="B40:G40"/>
    <mergeCell ref="B41:G41"/>
    <mergeCell ref="C42:D42"/>
    <mergeCell ref="F42:G42"/>
  </mergeCells>
  <hyperlinks>
    <hyperlink ref="B6"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L61"/>
  <sheetViews>
    <sheetView showGridLines="0" zoomScale="90" zoomScaleNormal="90" workbookViewId="0">
      <selection activeCell="F4" sqref="F4"/>
    </sheetView>
  </sheetViews>
  <sheetFormatPr defaultRowHeight="15"/>
  <cols>
    <col min="1" max="1" width="2.42578125" style="520" customWidth="1"/>
    <col min="2" max="2" width="19.42578125" style="515" customWidth="1"/>
    <col min="3" max="3" width="21.42578125" style="515" customWidth="1"/>
    <col min="4" max="12" width="11.7109375" style="515" customWidth="1"/>
    <col min="13" max="16384" width="9.140625" style="515"/>
  </cols>
  <sheetData>
    <row r="1" spans="1:12" ht="15" customHeight="1">
      <c r="A1" s="514"/>
      <c r="E1" s="637" t="s">
        <v>2056</v>
      </c>
    </row>
    <row r="2" spans="1:12" ht="15" customHeight="1">
      <c r="A2" s="514"/>
      <c r="D2" s="516" t="s">
        <v>604</v>
      </c>
      <c r="E2" s="517"/>
      <c r="F2" s="517"/>
      <c r="G2" s="517"/>
      <c r="H2" s="517"/>
      <c r="I2" s="517"/>
      <c r="J2" s="517"/>
      <c r="K2" s="518"/>
    </row>
    <row r="3" spans="1:12" ht="15" customHeight="1">
      <c r="A3" s="514"/>
      <c r="D3" s="648" t="s">
        <v>613</v>
      </c>
      <c r="E3" s="649"/>
      <c r="F3" s="648" t="s">
        <v>614</v>
      </c>
      <c r="G3" s="649"/>
      <c r="H3" s="648" t="s">
        <v>615</v>
      </c>
      <c r="I3" s="649"/>
      <c r="J3" s="648" t="s">
        <v>616</v>
      </c>
      <c r="K3" s="649"/>
      <c r="L3" s="519" t="s">
        <v>603</v>
      </c>
    </row>
    <row r="4" spans="1:12" ht="15" customHeight="1">
      <c r="A4" s="514"/>
      <c r="D4" s="519" t="s">
        <v>605</v>
      </c>
      <c r="E4" s="519" t="s">
        <v>606</v>
      </c>
      <c r="F4" s="519" t="s">
        <v>605</v>
      </c>
      <c r="G4" s="519" t="s">
        <v>606</v>
      </c>
      <c r="H4" s="519" t="s">
        <v>605</v>
      </c>
      <c r="I4" s="519" t="s">
        <v>606</v>
      </c>
      <c r="J4" s="519" t="s">
        <v>605</v>
      </c>
      <c r="K4" s="519" t="s">
        <v>606</v>
      </c>
      <c r="L4" s="519"/>
    </row>
    <row r="5" spans="1:12" ht="15" customHeight="1">
      <c r="D5" s="521">
        <v>0</v>
      </c>
      <c r="E5" s="521">
        <v>8350</v>
      </c>
      <c r="F5" s="522">
        <v>0</v>
      </c>
      <c r="G5" s="521">
        <v>16700</v>
      </c>
      <c r="H5" s="521">
        <v>0</v>
      </c>
      <c r="I5" s="521">
        <v>8350</v>
      </c>
      <c r="J5" s="521">
        <v>0</v>
      </c>
      <c r="K5" s="521">
        <v>11950</v>
      </c>
      <c r="L5" s="523">
        <v>0.1</v>
      </c>
    </row>
    <row r="6" spans="1:12" ht="15" customHeight="1">
      <c r="A6" s="514"/>
      <c r="D6" s="521">
        <v>8351</v>
      </c>
      <c r="E6" s="521">
        <v>33950</v>
      </c>
      <c r="F6" s="521">
        <v>16701</v>
      </c>
      <c r="G6" s="521">
        <v>67900</v>
      </c>
      <c r="H6" s="521">
        <v>8351</v>
      </c>
      <c r="I6" s="521">
        <v>33950</v>
      </c>
      <c r="J6" s="521">
        <v>11951</v>
      </c>
      <c r="K6" s="521">
        <v>45500</v>
      </c>
      <c r="L6" s="523">
        <v>0.15</v>
      </c>
    </row>
    <row r="7" spans="1:12" ht="15" customHeight="1">
      <c r="A7" s="514"/>
      <c r="D7" s="521">
        <v>33951</v>
      </c>
      <c r="E7" s="521">
        <v>82250</v>
      </c>
      <c r="F7" s="521">
        <v>67901</v>
      </c>
      <c r="G7" s="521">
        <v>137050</v>
      </c>
      <c r="H7" s="521">
        <v>33951</v>
      </c>
      <c r="I7" s="521">
        <v>68525</v>
      </c>
      <c r="J7" s="521">
        <v>45501</v>
      </c>
      <c r="K7" s="521">
        <v>117450</v>
      </c>
      <c r="L7" s="523">
        <v>0.25</v>
      </c>
    </row>
    <row r="8" spans="1:12" ht="15" customHeight="1">
      <c r="A8" s="514"/>
      <c r="D8" s="521">
        <v>82251</v>
      </c>
      <c r="E8" s="521">
        <v>171550</v>
      </c>
      <c r="F8" s="521">
        <v>137051</v>
      </c>
      <c r="G8" s="521">
        <v>208850</v>
      </c>
      <c r="H8" s="521">
        <v>68526</v>
      </c>
      <c r="I8" s="521">
        <v>104425</v>
      </c>
      <c r="J8" s="521">
        <v>117451</v>
      </c>
      <c r="K8" s="521">
        <v>190200</v>
      </c>
      <c r="L8" s="523">
        <v>0.28000000000000003</v>
      </c>
    </row>
    <row r="9" spans="1:12" ht="15" customHeight="1">
      <c r="A9" s="514"/>
      <c r="D9" s="521">
        <v>171551</v>
      </c>
      <c r="E9" s="521">
        <v>372950</v>
      </c>
      <c r="F9" s="521">
        <v>208851</v>
      </c>
      <c r="G9" s="521">
        <v>372950</v>
      </c>
      <c r="H9" s="521">
        <v>104426</v>
      </c>
      <c r="I9" s="521">
        <v>186475</v>
      </c>
      <c r="J9" s="521">
        <v>190201</v>
      </c>
      <c r="K9" s="521">
        <v>372950</v>
      </c>
      <c r="L9" s="523">
        <v>0.33</v>
      </c>
    </row>
    <row r="10" spans="1:12" ht="15" customHeight="1">
      <c r="D10" s="521">
        <v>372951</v>
      </c>
      <c r="E10" s="521"/>
      <c r="F10" s="521">
        <v>372951</v>
      </c>
      <c r="G10" s="521"/>
      <c r="H10" s="521">
        <v>186476</v>
      </c>
      <c r="I10" s="521"/>
      <c r="J10" s="521">
        <v>372951</v>
      </c>
      <c r="K10" s="521"/>
      <c r="L10" s="523">
        <v>0.35</v>
      </c>
    </row>
    <row r="11" spans="1:12" ht="15" customHeight="1">
      <c r="A11" s="514"/>
    </row>
    <row r="12" spans="1:12" ht="15" customHeight="1">
      <c r="B12" s="524" t="s">
        <v>607</v>
      </c>
      <c r="C12" s="525">
        <v>124325</v>
      </c>
      <c r="D12" s="526"/>
      <c r="E12" s="526"/>
      <c r="F12" s="526"/>
      <c r="G12" s="526"/>
      <c r="H12" s="526"/>
      <c r="I12" s="526"/>
      <c r="J12" s="526"/>
    </row>
    <row r="13" spans="1:12" ht="15" customHeight="1">
      <c r="A13" s="514"/>
      <c r="B13" s="3" t="s">
        <v>611</v>
      </c>
      <c r="C13" s="527" t="s">
        <v>613</v>
      </c>
      <c r="G13" s="526"/>
      <c r="H13" s="526"/>
      <c r="I13" s="526"/>
      <c r="J13" s="526"/>
      <c r="K13" s="526"/>
    </row>
    <row r="14" spans="1:12" ht="15" customHeight="1">
      <c r="A14" s="514"/>
    </row>
    <row r="15" spans="1:12">
      <c r="A15" s="514"/>
      <c r="E15" s="528" t="s">
        <v>613</v>
      </c>
      <c r="F15" s="529"/>
      <c r="G15" s="528" t="s">
        <v>614</v>
      </c>
      <c r="H15" s="529"/>
      <c r="I15" s="528" t="s">
        <v>615</v>
      </c>
      <c r="J15" s="529"/>
      <c r="K15" s="528" t="s">
        <v>617</v>
      </c>
    </row>
    <row r="16" spans="1:12">
      <c r="A16" s="514"/>
      <c r="B16" s="530" t="s">
        <v>608</v>
      </c>
      <c r="C16" s="521">
        <f>IF($C$13="A. Single",E16,IF($C$13="B. Married/Widower",G16,IF($C$13="C. Married - Sep",I16,K16)))</f>
        <v>23030.280000000002</v>
      </c>
      <c r="D16" s="526"/>
      <c r="E16" s="531">
        <f>VLOOKUP($C$12,$D$3:$L$10,1)*E17</f>
        <v>23030.280000000002</v>
      </c>
      <c r="F16" s="423"/>
      <c r="G16" s="531">
        <f>VLOOKUP($C$12,$F$3:$L$10,1)*G17</f>
        <v>16975.25</v>
      </c>
      <c r="H16" s="526"/>
      <c r="I16" s="531">
        <f>VLOOKUP($C$12,$H$3:$L$10,1)*I17</f>
        <v>34460.58</v>
      </c>
      <c r="J16" s="526"/>
      <c r="K16" s="531">
        <f>VLOOKUP($C$12,$J$3:$L$10,1)*K17</f>
        <v>32886.280000000006</v>
      </c>
    </row>
    <row r="17" spans="1:11">
      <c r="A17" s="514"/>
      <c r="B17" s="19" t="s">
        <v>610</v>
      </c>
      <c r="C17" s="532">
        <f>IF($C$13="A. Single",E17,IF($C$13="B. Married/Widower",G17,IF($C$13="C. Married - Sep",I17,K17)))</f>
        <v>0.28000000000000003</v>
      </c>
      <c r="D17" s="526"/>
      <c r="E17" s="533">
        <f>VLOOKUP($C$12,$D$3:$L$12,9)</f>
        <v>0.28000000000000003</v>
      </c>
      <c r="F17" s="534"/>
      <c r="G17" s="533">
        <f>VLOOKUP($C$12,$F$3:$L$10,7)</f>
        <v>0.25</v>
      </c>
      <c r="H17" s="526"/>
      <c r="I17" s="533">
        <f>VLOOKUP($C$12,$H$3:$L$10,5)</f>
        <v>0.33</v>
      </c>
      <c r="J17" s="526"/>
      <c r="K17" s="533">
        <f>VLOOKUP($C$12,$J$3:$L$10,3)</f>
        <v>0.28000000000000003</v>
      </c>
    </row>
    <row r="18" spans="1:11">
      <c r="A18" s="514"/>
      <c r="B18" s="530" t="s">
        <v>609</v>
      </c>
      <c r="C18" s="521">
        <f>IF($C$13="A. Single",E18,IF($C$13="B. Married/Widower",G18,IF($C$13="C. Married - Sep",I18,K18)))</f>
        <v>82251</v>
      </c>
      <c r="E18" s="531">
        <f>VLOOKUP($C$12,$D$3:$L$12,1)</f>
        <v>82251</v>
      </c>
      <c r="F18" s="423"/>
      <c r="G18" s="531">
        <f>VLOOKUP($C$12,$F$3:$L$10,1)</f>
        <v>67901</v>
      </c>
      <c r="I18" s="531">
        <f>VLOOKUP($C$12,$H$3:$L$10,1)</f>
        <v>104426</v>
      </c>
      <c r="K18" s="531">
        <f>VLOOKUP($C$12,$D$3:$L$12,7)</f>
        <v>117451</v>
      </c>
    </row>
    <row r="19" spans="1:11">
      <c r="A19" s="514"/>
    </row>
    <row r="20" spans="1:11">
      <c r="A20" s="514"/>
      <c r="B20" s="3" t="s">
        <v>612</v>
      </c>
      <c r="C20" s="531">
        <f>C16+(($C$12-C18)*C17)</f>
        <v>34811</v>
      </c>
      <c r="E20" s="531">
        <f>E16+(($C$12-E18)*E17)</f>
        <v>34811</v>
      </c>
      <c r="G20" s="531">
        <f>G16+(($C$12-G18)*G17)</f>
        <v>31081.25</v>
      </c>
      <c r="I20" s="531">
        <f>I16+(($C$12-I18)*I17)</f>
        <v>41027.25</v>
      </c>
      <c r="K20" s="531">
        <f>K16+(($C$12-K18)*K17)</f>
        <v>34811.000000000007</v>
      </c>
    </row>
    <row r="21" spans="1:11">
      <c r="A21" s="514"/>
    </row>
    <row r="22" spans="1:11">
      <c r="A22" s="514"/>
      <c r="C22" s="535"/>
      <c r="E22" s="535"/>
      <c r="G22" s="535"/>
      <c r="I22" s="535"/>
      <c r="K22" s="535"/>
    </row>
    <row r="23" spans="1:11">
      <c r="A23" s="514"/>
      <c r="C23" s="535"/>
      <c r="E23" s="535"/>
      <c r="G23" s="535"/>
      <c r="I23" s="535"/>
      <c r="K23" s="535"/>
    </row>
    <row r="24" spans="1:11">
      <c r="A24" s="514"/>
      <c r="C24" s="536"/>
      <c r="E24" s="536"/>
      <c r="G24" s="536"/>
      <c r="I24" s="536"/>
      <c r="K24" s="536"/>
    </row>
    <row r="25" spans="1:11">
      <c r="A25" s="514"/>
      <c r="C25" s="536"/>
      <c r="E25" s="536"/>
      <c r="G25" s="536"/>
      <c r="I25" s="536"/>
      <c r="J25" s="536"/>
      <c r="K25" s="536"/>
    </row>
    <row r="26" spans="1:11">
      <c r="A26" s="514"/>
    </row>
    <row r="27" spans="1:11">
      <c r="A27" s="514"/>
    </row>
    <row r="28" spans="1:11">
      <c r="A28" s="514"/>
    </row>
    <row r="29" spans="1:11">
      <c r="A29" s="514"/>
    </row>
    <row r="30" spans="1:11">
      <c r="A30" s="514"/>
    </row>
    <row r="53" spans="1:1" s="517" customFormat="1">
      <c r="A53" s="537"/>
    </row>
    <row r="56" spans="1:1" ht="15.75" customHeight="1"/>
    <row r="57" spans="1:1" ht="15.75" customHeight="1"/>
    <row r="58" spans="1:1" ht="15.75" customHeight="1"/>
    <row r="59" spans="1:1" ht="15.75" customHeight="1"/>
    <row r="60" spans="1:1" ht="15.75" customHeight="1"/>
    <row r="61" spans="1:1" ht="15.75" customHeight="1"/>
  </sheetData>
  <mergeCells count="4">
    <mergeCell ref="D3:E3"/>
    <mergeCell ref="F3:G3"/>
    <mergeCell ref="H3:I3"/>
    <mergeCell ref="J3:K3"/>
  </mergeCells>
  <dataValidations count="1">
    <dataValidation type="list" allowBlank="1" showInputMessage="1" showErrorMessage="1" sqref="C13">
      <formula1>$D$3:$K$3</formula1>
    </dataValidation>
  </dataValidation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dimension ref="A1:E20"/>
  <sheetViews>
    <sheetView showGridLines="0" workbookViewId="0">
      <selection activeCell="F4" sqref="F4"/>
    </sheetView>
  </sheetViews>
  <sheetFormatPr defaultRowHeight="15.75"/>
  <cols>
    <col min="1" max="16384" width="9.140625" style="142"/>
  </cols>
  <sheetData>
    <row r="1" spans="1:5" ht="23.25">
      <c r="A1" s="33" t="s">
        <v>2053</v>
      </c>
      <c r="E1" s="638" t="s">
        <v>2056</v>
      </c>
    </row>
    <row r="4" spans="1:5">
      <c r="B4" s="143">
        <f ca="1">RAND()</f>
        <v>0.14867056003708212</v>
      </c>
      <c r="C4" s="142" t="str">
        <f ca="1">REPT(CHAR(7),B4*30)</f>
        <v>_x0007__x0007__x0007__x0007_</v>
      </c>
    </row>
    <row r="5" spans="1:5">
      <c r="B5" s="143">
        <f t="shared" ref="B5:B20" ca="1" si="0">RAND()</f>
        <v>0.18258585020663531</v>
      </c>
      <c r="C5" s="142" t="str">
        <f t="shared" ref="C5:C20" ca="1" si="1">REPT(CHAR(7),B5*30)</f>
        <v>_x0007__x0007__x0007__x0007__x0007_</v>
      </c>
    </row>
    <row r="6" spans="1:5">
      <c r="B6" s="143">
        <f t="shared" ca="1" si="0"/>
        <v>0.56209551336556896</v>
      </c>
      <c r="C6" s="142" t="str">
        <f t="shared" ca="1" si="1"/>
        <v>_x0007__x0007__x0007__x0007__x0007__x0007__x0007__x0007__x0007__x0007__x0007__x0007__x0007__x0007__x0007__x0007_</v>
      </c>
    </row>
    <row r="7" spans="1:5">
      <c r="B7" s="143">
        <f t="shared" ca="1" si="0"/>
        <v>0.63535050664400528</v>
      </c>
      <c r="C7" s="142" t="str">
        <f t="shared" ca="1" si="1"/>
        <v>_x0007__x0007__x0007__x0007__x0007__x0007__x0007__x0007__x0007__x0007__x0007__x0007__x0007__x0007__x0007__x0007__x0007__x0007__x0007_</v>
      </c>
    </row>
    <row r="8" spans="1:5">
      <c r="B8" s="143">
        <f t="shared" ca="1" si="0"/>
        <v>0.53323597664192324</v>
      </c>
      <c r="C8" s="142" t="str">
        <f t="shared" ca="1" si="1"/>
        <v>_x0007__x0007__x0007__x0007__x0007__x0007__x0007__x0007__x0007__x0007__x0007__x0007__x0007__x0007__x0007_</v>
      </c>
    </row>
    <row r="9" spans="1:5">
      <c r="B9" s="143">
        <f t="shared" ca="1" si="0"/>
        <v>0.52934503757235807</v>
      </c>
      <c r="C9" s="142" t="str">
        <f t="shared" ca="1" si="1"/>
        <v>_x0007__x0007__x0007__x0007__x0007__x0007__x0007__x0007__x0007__x0007__x0007__x0007__x0007__x0007__x0007_</v>
      </c>
    </row>
    <row r="10" spans="1:5">
      <c r="B10" s="143">
        <f t="shared" ca="1" si="0"/>
        <v>0.79578418921908978</v>
      </c>
      <c r="C10" s="142" t="str">
        <f t="shared" ca="1" si="1"/>
        <v>_x0007__x0007__x0007__x0007__x0007__x0007__x0007__x0007__x0007__x0007__x0007__x0007__x0007__x0007__x0007__x0007__x0007__x0007__x0007__x0007__x0007__x0007__x0007_</v>
      </c>
    </row>
    <row r="11" spans="1:5">
      <c r="B11" s="143">
        <f t="shared" ca="1" si="0"/>
        <v>0.94451228501317974</v>
      </c>
      <c r="C11" s="142" t="str">
        <f t="shared" ca="1" si="1"/>
        <v>_x0007__x0007__x0007__x0007__x0007__x0007__x0007__x0007__x0007__x0007__x0007__x0007__x0007__x0007__x0007__x0007__x0007__x0007__x0007__x0007__x0007__x0007__x0007__x0007__x0007__x0007__x0007__x0007_</v>
      </c>
    </row>
    <row r="12" spans="1:5">
      <c r="B12" s="143">
        <f t="shared" ca="1" si="0"/>
        <v>0.1133319838692195</v>
      </c>
      <c r="C12" s="142" t="str">
        <f t="shared" ca="1" si="1"/>
        <v>_x0007__x0007__x0007_</v>
      </c>
    </row>
    <row r="13" spans="1:5">
      <c r="B13" s="143">
        <f t="shared" ca="1" si="0"/>
        <v>0.89056297879570101</v>
      </c>
      <c r="C13" s="142" t="str">
        <f t="shared" ca="1" si="1"/>
        <v>_x0007__x0007__x0007__x0007__x0007__x0007__x0007__x0007__x0007__x0007__x0007__x0007__x0007__x0007__x0007__x0007__x0007__x0007__x0007__x0007__x0007__x0007__x0007__x0007__x0007__x0007_</v>
      </c>
    </row>
    <row r="14" spans="1:5">
      <c r="B14" s="143">
        <f t="shared" ca="1" si="0"/>
        <v>0.28186102798660784</v>
      </c>
      <c r="C14" s="142" t="str">
        <f t="shared" ca="1" si="1"/>
        <v>_x0007__x0007__x0007__x0007__x0007__x0007__x0007__x0007_</v>
      </c>
    </row>
    <row r="15" spans="1:5">
      <c r="B15" s="143">
        <f t="shared" ca="1" si="0"/>
        <v>0.80914749555466758</v>
      </c>
      <c r="C15" s="142" t="str">
        <f t="shared" ca="1" si="1"/>
        <v>_x0007__x0007__x0007__x0007__x0007__x0007__x0007__x0007__x0007__x0007__x0007__x0007__x0007__x0007__x0007__x0007__x0007__x0007__x0007__x0007__x0007__x0007__x0007__x0007_</v>
      </c>
    </row>
    <row r="16" spans="1:5">
      <c r="B16" s="143">
        <f t="shared" ca="1" si="0"/>
        <v>0.56726578283269813</v>
      </c>
      <c r="C16" s="142" t="str">
        <f t="shared" ca="1" si="1"/>
        <v>_x0007__x0007__x0007__x0007__x0007__x0007__x0007__x0007__x0007__x0007__x0007__x0007__x0007__x0007__x0007__x0007__x0007_</v>
      </c>
    </row>
    <row r="17" spans="2:3">
      <c r="B17" s="143">
        <f t="shared" ca="1" si="0"/>
        <v>0.59040741469543301</v>
      </c>
      <c r="C17" s="142" t="str">
        <f t="shared" ca="1" si="1"/>
        <v>_x0007__x0007__x0007__x0007__x0007__x0007__x0007__x0007__x0007__x0007__x0007__x0007__x0007__x0007__x0007__x0007__x0007_</v>
      </c>
    </row>
    <row r="18" spans="2:3">
      <c r="B18" s="143">
        <f t="shared" ca="1" si="0"/>
        <v>0.18655672522709477</v>
      </c>
      <c r="C18" s="142" t="str">
        <f t="shared" ca="1" si="1"/>
        <v>_x0007__x0007__x0007__x0007__x0007_</v>
      </c>
    </row>
    <row r="19" spans="2:3">
      <c r="B19" s="143">
        <f t="shared" ca="1" si="0"/>
        <v>0.52742779433786136</v>
      </c>
      <c r="C19" s="142" t="str">
        <f t="shared" ca="1" si="1"/>
        <v>_x0007__x0007__x0007__x0007__x0007__x0007__x0007__x0007__x0007__x0007__x0007__x0007__x0007__x0007__x0007_</v>
      </c>
    </row>
    <row r="20" spans="2:3">
      <c r="B20" s="143">
        <f t="shared" ca="1" si="0"/>
        <v>0.46993279382709652</v>
      </c>
      <c r="C20" s="142" t="str">
        <f t="shared" ca="1" si="1"/>
        <v>_x0007__x0007__x0007__x0007__x0007__x0007__x0007__x0007__x0007__x0007__x0007__x0007__x0007__x0007_</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dimension ref="A1:I14"/>
  <sheetViews>
    <sheetView workbookViewId="0">
      <selection activeCell="F4" sqref="F4"/>
    </sheetView>
  </sheetViews>
  <sheetFormatPr defaultRowHeight="26.25"/>
  <cols>
    <col min="1" max="1" width="3.42578125" style="3" customWidth="1"/>
    <col min="2" max="2" width="7.28515625" style="114" customWidth="1"/>
    <col min="3" max="3" width="22.28515625" style="3" customWidth="1"/>
    <col min="4" max="4" width="15.85546875" style="3" customWidth="1"/>
    <col min="5" max="5" width="8.42578125" style="3" customWidth="1"/>
    <col min="6" max="6" width="27.85546875" style="3" customWidth="1"/>
    <col min="7" max="9" width="15.85546875" style="3" customWidth="1"/>
    <col min="10" max="10" width="11.5703125" style="3" customWidth="1"/>
    <col min="11" max="26" width="10.28515625" style="3" customWidth="1"/>
    <col min="27" max="29" width="10" style="3" customWidth="1"/>
    <col min="30" max="16384" width="9.140625" style="3"/>
  </cols>
  <sheetData>
    <row r="1" spans="1:9" ht="30">
      <c r="A1" s="113" t="s">
        <v>1759</v>
      </c>
      <c r="E1" s="637" t="s">
        <v>2056</v>
      </c>
      <c r="I1" s="114"/>
    </row>
    <row r="2" spans="1:9" ht="30">
      <c r="A2" s="113" t="s">
        <v>458</v>
      </c>
      <c r="F2" s="116" t="s">
        <v>266</v>
      </c>
      <c r="G2" s="139">
        <v>34000</v>
      </c>
      <c r="I2" s="114"/>
    </row>
    <row r="3" spans="1:9">
      <c r="B3" s="3"/>
      <c r="F3" s="116" t="s">
        <v>1922</v>
      </c>
      <c r="G3" s="139">
        <v>200</v>
      </c>
    </row>
    <row r="4" spans="1:9">
      <c r="B4" s="3"/>
      <c r="F4" s="116" t="s">
        <v>1923</v>
      </c>
      <c r="G4" s="139">
        <v>5</v>
      </c>
      <c r="H4" s="139" t="s">
        <v>2054</v>
      </c>
    </row>
    <row r="5" spans="1:9">
      <c r="B5" s="3"/>
      <c r="F5" s="116"/>
      <c r="G5" s="139"/>
      <c r="H5" s="140"/>
    </row>
    <row r="6" spans="1:9" ht="15">
      <c r="B6" s="3"/>
    </row>
    <row r="7" spans="1:9" ht="15">
      <c r="B7" s="3"/>
    </row>
    <row r="8" spans="1:9" ht="15">
      <c r="B8" s="3"/>
    </row>
    <row r="9" spans="1:9">
      <c r="B9" s="3"/>
      <c r="C9" s="114" t="s">
        <v>1924</v>
      </c>
      <c r="F9" s="141">
        <f>SLN(G2,G3,G4)</f>
        <v>6760</v>
      </c>
    </row>
    <row r="10" spans="1:9" ht="15">
      <c r="B10" s="3"/>
    </row>
    <row r="11" spans="1:9" ht="15">
      <c r="B11" s="3"/>
    </row>
    <row r="12" spans="1:9" ht="15">
      <c r="B12" s="3"/>
    </row>
    <row r="13" spans="1:9" ht="15">
      <c r="B13" s="3"/>
    </row>
    <row r="14" spans="1:9" ht="15">
      <c r="B14" s="3"/>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dimension ref="A1:I14"/>
  <sheetViews>
    <sheetView workbookViewId="0">
      <selection activeCell="F4" sqref="F4"/>
    </sheetView>
  </sheetViews>
  <sheetFormatPr defaultRowHeight="26.25"/>
  <cols>
    <col min="1" max="1" width="3.42578125" style="3" customWidth="1"/>
    <col min="2" max="2" width="7.28515625" style="114" customWidth="1"/>
    <col min="3" max="3" width="22.28515625" style="3" customWidth="1"/>
    <col min="4" max="4" width="15.85546875" style="3" customWidth="1"/>
    <col min="5" max="5" width="8.42578125" style="3" customWidth="1"/>
    <col min="6" max="6" width="27.85546875" style="3" customWidth="1"/>
    <col min="7" max="9" width="15.85546875" style="3" customWidth="1"/>
    <col min="10" max="10" width="11.5703125" style="3" customWidth="1"/>
    <col min="11" max="26" width="10.28515625" style="3" customWidth="1"/>
    <col min="27" max="29" width="10" style="3" customWidth="1"/>
    <col min="30" max="16384" width="9.140625" style="3"/>
  </cols>
  <sheetData>
    <row r="1" spans="1:9" ht="30">
      <c r="A1" s="113" t="s">
        <v>1759</v>
      </c>
      <c r="E1" s="637" t="s">
        <v>2056</v>
      </c>
      <c r="I1" s="114"/>
    </row>
    <row r="2" spans="1:9" ht="30">
      <c r="A2" s="113" t="s">
        <v>460</v>
      </c>
      <c r="F2" s="116" t="s">
        <v>266</v>
      </c>
      <c r="G2" s="139">
        <v>34000</v>
      </c>
      <c r="I2" s="114"/>
    </row>
    <row r="3" spans="1:9">
      <c r="B3" s="3"/>
      <c r="F3" s="116" t="s">
        <v>1922</v>
      </c>
      <c r="G3" s="139">
        <v>200</v>
      </c>
    </row>
    <row r="4" spans="1:9">
      <c r="B4" s="3"/>
      <c r="F4" s="116" t="s">
        <v>1923</v>
      </c>
      <c r="G4" s="139">
        <v>5</v>
      </c>
      <c r="H4" s="140" t="s">
        <v>1841</v>
      </c>
    </row>
    <row r="5" spans="1:9">
      <c r="B5" s="3"/>
      <c r="F5" s="116" t="s">
        <v>1925</v>
      </c>
      <c r="G5" s="139">
        <v>1</v>
      </c>
      <c r="H5" s="140" t="s">
        <v>2055</v>
      </c>
    </row>
    <row r="6" spans="1:9" ht="15">
      <c r="B6" s="3"/>
    </row>
    <row r="7" spans="1:9" ht="15">
      <c r="B7" s="3"/>
    </row>
    <row r="8" spans="1:9" ht="15">
      <c r="B8" s="3"/>
    </row>
    <row r="9" spans="1:9">
      <c r="B9" s="3"/>
      <c r="C9" s="114" t="s">
        <v>1924</v>
      </c>
      <c r="F9" s="141">
        <f>SYD(G2,G3,G4,G5)</f>
        <v>11266.666666666666</v>
      </c>
    </row>
    <row r="10" spans="1:9" ht="15">
      <c r="B10" s="3"/>
    </row>
    <row r="11" spans="1:9" ht="15">
      <c r="B11" s="3"/>
    </row>
    <row r="12" spans="1:9" ht="15">
      <c r="B12" s="3"/>
    </row>
    <row r="13" spans="1:9" ht="15">
      <c r="B13" s="3"/>
    </row>
    <row r="14" spans="1:9" ht="15">
      <c r="B14" s="3"/>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dimension ref="A1:I14"/>
  <sheetViews>
    <sheetView workbookViewId="0">
      <selection activeCell="F4" sqref="F4"/>
    </sheetView>
  </sheetViews>
  <sheetFormatPr defaultRowHeight="26.25"/>
  <cols>
    <col min="1" max="1" width="3.42578125" style="3" customWidth="1"/>
    <col min="2" max="2" width="7.28515625" style="114" customWidth="1"/>
    <col min="3" max="3" width="22.28515625" style="3" customWidth="1"/>
    <col min="4" max="4" width="15.85546875" style="3" customWidth="1"/>
    <col min="5" max="5" width="8.42578125" style="3" customWidth="1"/>
    <col min="6" max="6" width="27.85546875" style="3" customWidth="1"/>
    <col min="7" max="9" width="15.85546875" style="3" customWidth="1"/>
    <col min="10" max="10" width="11.5703125" style="3" customWidth="1"/>
    <col min="11" max="26" width="10.28515625" style="3" customWidth="1"/>
    <col min="27" max="29" width="10" style="3" customWidth="1"/>
    <col min="30" max="16384" width="9.140625" style="3"/>
  </cols>
  <sheetData>
    <row r="1" spans="1:9" ht="30">
      <c r="A1" s="113" t="s">
        <v>1759</v>
      </c>
      <c r="E1" s="637" t="s">
        <v>2056</v>
      </c>
      <c r="I1" s="114"/>
    </row>
    <row r="2" spans="1:9" ht="30">
      <c r="A2" s="113" t="s">
        <v>449</v>
      </c>
      <c r="F2" s="116" t="s">
        <v>266</v>
      </c>
      <c r="G2" s="139">
        <v>34000</v>
      </c>
      <c r="I2" s="114"/>
    </row>
    <row r="3" spans="1:9">
      <c r="B3" s="3"/>
      <c r="F3" s="116" t="s">
        <v>1922</v>
      </c>
      <c r="G3" s="139">
        <v>200</v>
      </c>
    </row>
    <row r="4" spans="1:9">
      <c r="B4" s="3"/>
      <c r="F4" s="116" t="s">
        <v>1923</v>
      </c>
      <c r="G4" s="139">
        <v>5</v>
      </c>
      <c r="H4" s="139" t="s">
        <v>2054</v>
      </c>
    </row>
    <row r="5" spans="1:9">
      <c r="B5" s="3"/>
      <c r="F5" s="116" t="s">
        <v>1925</v>
      </c>
      <c r="G5" s="139">
        <v>1</v>
      </c>
      <c r="H5" s="140" t="s">
        <v>2055</v>
      </c>
    </row>
    <row r="6" spans="1:9" ht="15">
      <c r="B6" s="3"/>
    </row>
    <row r="7" spans="1:9" ht="15">
      <c r="B7" s="3"/>
    </row>
    <row r="8" spans="1:9" ht="15">
      <c r="B8" s="3"/>
    </row>
    <row r="9" spans="1:9">
      <c r="B9" s="3"/>
      <c r="C9" s="114" t="s">
        <v>1924</v>
      </c>
      <c r="F9" s="141">
        <f>DDB(G2,G3,G4,G5)</f>
        <v>13600</v>
      </c>
    </row>
    <row r="10" spans="1:9" ht="15">
      <c r="B10" s="3"/>
    </row>
    <row r="11" spans="1:9" ht="15">
      <c r="B11" s="3"/>
    </row>
    <row r="12" spans="1:9" ht="15">
      <c r="B12" s="3"/>
    </row>
    <row r="13" spans="1:9" ht="15">
      <c r="B13" s="3"/>
    </row>
    <row r="14" spans="1:9" ht="15">
      <c r="B14" s="3"/>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dimension ref="A1:J101"/>
  <sheetViews>
    <sheetView workbookViewId="0">
      <selection activeCell="F4" sqref="F4"/>
    </sheetView>
  </sheetViews>
  <sheetFormatPr defaultRowHeight="26.25"/>
  <cols>
    <col min="1" max="1" width="3.42578125" style="3" customWidth="1"/>
    <col min="2" max="2" width="18.28515625" style="114" customWidth="1"/>
    <col min="3" max="9" width="15.85546875" style="3" customWidth="1"/>
    <col min="10" max="10" width="11.5703125" style="3" customWidth="1"/>
    <col min="11" max="26" width="10.28515625" style="3" customWidth="1"/>
    <col min="27" max="29" width="10" style="3" customWidth="1"/>
    <col min="30" max="16384" width="9.140625" style="3"/>
  </cols>
  <sheetData>
    <row r="1" spans="1:10" ht="30">
      <c r="A1" s="113" t="s">
        <v>1759</v>
      </c>
      <c r="E1" s="637" t="s">
        <v>2056</v>
      </c>
      <c r="I1" s="114" t="s">
        <v>264</v>
      </c>
    </row>
    <row r="2" spans="1:10" ht="30">
      <c r="A2" s="113" t="s">
        <v>419</v>
      </c>
      <c r="E2" s="114">
        <f>DGET(B8:G12,G8,I1:I2)</f>
        <v>2</v>
      </c>
      <c r="I2" s="114" t="s">
        <v>1795</v>
      </c>
    </row>
    <row r="3" spans="1:10">
      <c r="A3" s="19"/>
      <c r="B3" s="118"/>
    </row>
    <row r="5" spans="1:10" ht="18">
      <c r="B5" s="119" t="s">
        <v>1772</v>
      </c>
      <c r="C5" s="120"/>
      <c r="D5" s="120"/>
      <c r="E5" s="120"/>
      <c r="F5" s="121"/>
      <c r="G5" s="121"/>
      <c r="H5" s="121"/>
      <c r="I5" s="120"/>
      <c r="J5" s="122"/>
    </row>
    <row r="6" spans="1:10" ht="18">
      <c r="B6" s="123" t="s">
        <v>1773</v>
      </c>
      <c r="C6" s="124"/>
      <c r="D6" s="124"/>
      <c r="E6" s="124"/>
      <c r="F6" s="125"/>
      <c r="G6" s="125"/>
      <c r="H6" s="125"/>
      <c r="I6" s="124"/>
      <c r="J6" s="126"/>
    </row>
    <row r="7" spans="1:10" ht="18" hidden="1">
      <c r="B7" s="127"/>
      <c r="C7" s="128"/>
      <c r="D7" s="128"/>
      <c r="E7" s="128"/>
      <c r="F7" s="129"/>
      <c r="G7" s="129"/>
      <c r="H7" s="129"/>
      <c r="I7" s="128"/>
    </row>
    <row r="8" spans="1:10" ht="39" customHeight="1" thickBot="1">
      <c r="B8" s="130" t="s">
        <v>264</v>
      </c>
      <c r="C8" s="131" t="s">
        <v>1774</v>
      </c>
      <c r="D8" s="131" t="s">
        <v>1775</v>
      </c>
      <c r="E8" s="132" t="s">
        <v>1776</v>
      </c>
      <c r="F8" s="133" t="s">
        <v>1777</v>
      </c>
      <c r="G8" s="133" t="s">
        <v>1778</v>
      </c>
    </row>
    <row r="9" spans="1:10" ht="18" customHeight="1">
      <c r="B9" s="134" t="s">
        <v>1781</v>
      </c>
      <c r="C9" s="135">
        <v>47520</v>
      </c>
      <c r="D9" s="135">
        <v>45619.199999999997</v>
      </c>
      <c r="E9" s="135">
        <f>C9-D9</f>
        <v>1900.8000000000029</v>
      </c>
      <c r="F9" s="136">
        <v>0.247</v>
      </c>
      <c r="G9" s="137">
        <v>6</v>
      </c>
    </row>
    <row r="10" spans="1:10" ht="18" customHeight="1">
      <c r="B10" s="134" t="s">
        <v>1782</v>
      </c>
      <c r="C10" s="135">
        <v>91463.039999999994</v>
      </c>
      <c r="D10" s="135">
        <v>72255.801599999992</v>
      </c>
      <c r="E10" s="135">
        <f>C10-D10</f>
        <v>19207.238400000002</v>
      </c>
      <c r="F10" s="136">
        <v>0.35599999999999998</v>
      </c>
      <c r="G10" s="137">
        <v>8</v>
      </c>
    </row>
    <row r="11" spans="1:10" ht="18" customHeight="1">
      <c r="B11" s="134" t="s">
        <v>1795</v>
      </c>
      <c r="C11" s="135">
        <v>90305.279999999999</v>
      </c>
      <c r="D11" s="135">
        <v>70438.118399999992</v>
      </c>
      <c r="E11" s="135">
        <f>C11-D11</f>
        <v>19867.161600000007</v>
      </c>
      <c r="F11" s="138">
        <v>0.26500000000000001</v>
      </c>
      <c r="G11" s="137">
        <v>2</v>
      </c>
    </row>
    <row r="12" spans="1:10" ht="18" customHeight="1">
      <c r="B12" s="134" t="s">
        <v>1794</v>
      </c>
      <c r="C12" s="135">
        <v>519480</v>
      </c>
      <c r="D12" s="135">
        <v>441558</v>
      </c>
      <c r="E12" s="135">
        <f>C12-D12</f>
        <v>77922</v>
      </c>
      <c r="F12" s="136">
        <v>0.39800000000000002</v>
      </c>
      <c r="G12" s="137">
        <v>6</v>
      </c>
    </row>
    <row r="13" spans="1:10" ht="15">
      <c r="B13" s="3"/>
    </row>
    <row r="14" spans="1:10" ht="15">
      <c r="B14" s="3"/>
    </row>
    <row r="15" spans="1:10" ht="15">
      <c r="B15" s="3"/>
    </row>
    <row r="16" spans="1:10" ht="15">
      <c r="B16" s="3"/>
    </row>
    <row r="17" spans="2:2" ht="15">
      <c r="B17" s="3"/>
    </row>
    <row r="18" spans="2:2" ht="15">
      <c r="B18" s="3"/>
    </row>
    <row r="19" spans="2:2" ht="15">
      <c r="B19" s="3"/>
    </row>
    <row r="20" spans="2:2" ht="15">
      <c r="B20" s="3"/>
    </row>
    <row r="21" spans="2:2" ht="15">
      <c r="B21" s="3"/>
    </row>
    <row r="22" spans="2:2" ht="15">
      <c r="B22" s="3"/>
    </row>
    <row r="23" spans="2:2" ht="15">
      <c r="B23" s="3"/>
    </row>
    <row r="24" spans="2:2" ht="15">
      <c r="B24" s="3"/>
    </row>
    <row r="25" spans="2:2" ht="15">
      <c r="B25" s="3"/>
    </row>
    <row r="26" spans="2:2" ht="15">
      <c r="B26" s="3"/>
    </row>
    <row r="27" spans="2:2" ht="15">
      <c r="B27" s="3"/>
    </row>
    <row r="28" spans="2:2" ht="15">
      <c r="B28" s="3"/>
    </row>
    <row r="29" spans="2:2" ht="15">
      <c r="B29" s="3"/>
    </row>
    <row r="30" spans="2:2" ht="15">
      <c r="B30" s="3"/>
    </row>
    <row r="31" spans="2:2" ht="15">
      <c r="B31" s="3"/>
    </row>
    <row r="32" spans="2:2" ht="15">
      <c r="B32" s="3"/>
    </row>
    <row r="33" spans="2:2" ht="15">
      <c r="B33" s="3"/>
    </row>
    <row r="34" spans="2:2" ht="15">
      <c r="B34" s="3"/>
    </row>
    <row r="35" spans="2:2" ht="15">
      <c r="B35" s="3"/>
    </row>
    <row r="36" spans="2:2" ht="15">
      <c r="B36" s="3"/>
    </row>
    <row r="37" spans="2:2" ht="15">
      <c r="B37" s="3"/>
    </row>
    <row r="38" spans="2:2" ht="15">
      <c r="B38" s="3"/>
    </row>
    <row r="39" spans="2:2" ht="15">
      <c r="B39" s="3"/>
    </row>
    <row r="40" spans="2:2" ht="15">
      <c r="B40" s="3"/>
    </row>
    <row r="41" spans="2:2" ht="15">
      <c r="B41" s="3"/>
    </row>
    <row r="42" spans="2:2" ht="15">
      <c r="B42" s="3"/>
    </row>
    <row r="43" spans="2:2" ht="15">
      <c r="B43" s="3"/>
    </row>
    <row r="44" spans="2:2" ht="15">
      <c r="B44" s="3"/>
    </row>
    <row r="45" spans="2:2" ht="15">
      <c r="B45" s="3"/>
    </row>
    <row r="46" spans="2:2" ht="15">
      <c r="B46" s="3"/>
    </row>
    <row r="47" spans="2:2" ht="15">
      <c r="B47" s="3"/>
    </row>
    <row r="48" spans="2:2" ht="15">
      <c r="B48" s="3"/>
    </row>
    <row r="49" spans="2:2" ht="15">
      <c r="B49" s="3"/>
    </row>
    <row r="50" spans="2:2" ht="15">
      <c r="B50" s="3"/>
    </row>
    <row r="51" spans="2:2" ht="15">
      <c r="B51" s="3"/>
    </row>
    <row r="52" spans="2:2" ht="15">
      <c r="B52" s="3"/>
    </row>
    <row r="53" spans="2:2" ht="15">
      <c r="B53" s="3"/>
    </row>
    <row r="54" spans="2:2" ht="15">
      <c r="B54" s="3"/>
    </row>
    <row r="55" spans="2:2" ht="15">
      <c r="B55" s="3"/>
    </row>
    <row r="56" spans="2:2" ht="15">
      <c r="B56" s="3"/>
    </row>
    <row r="57" spans="2:2" ht="15">
      <c r="B57" s="3"/>
    </row>
    <row r="58" spans="2:2" ht="15">
      <c r="B58" s="3"/>
    </row>
    <row r="59" spans="2:2" ht="15">
      <c r="B59" s="3"/>
    </row>
    <row r="60" spans="2:2" ht="15">
      <c r="B60" s="3"/>
    </row>
    <row r="61" spans="2:2" ht="15">
      <c r="B61" s="3"/>
    </row>
    <row r="62" spans="2:2" ht="15">
      <c r="B62" s="3"/>
    </row>
    <row r="63" spans="2:2" ht="15">
      <c r="B63" s="3"/>
    </row>
    <row r="64" spans="2:2" ht="15">
      <c r="B64" s="3"/>
    </row>
    <row r="65" spans="2:2" ht="15">
      <c r="B65" s="3"/>
    </row>
    <row r="66" spans="2:2" ht="15">
      <c r="B66" s="3"/>
    </row>
    <row r="67" spans="2:2" ht="15">
      <c r="B67" s="3"/>
    </row>
    <row r="68" spans="2:2" ht="15">
      <c r="B68" s="3"/>
    </row>
    <row r="69" spans="2:2" ht="15">
      <c r="B69" s="3"/>
    </row>
    <row r="70" spans="2:2" ht="15">
      <c r="B70" s="3"/>
    </row>
    <row r="71" spans="2:2" ht="15">
      <c r="B71" s="3"/>
    </row>
    <row r="72" spans="2:2" ht="15">
      <c r="B72" s="3"/>
    </row>
    <row r="73" spans="2:2" ht="15">
      <c r="B73" s="3"/>
    </row>
    <row r="74" spans="2:2" ht="15">
      <c r="B74" s="3"/>
    </row>
    <row r="75" spans="2:2" ht="15">
      <c r="B75" s="3"/>
    </row>
    <row r="76" spans="2:2" ht="15">
      <c r="B76" s="3"/>
    </row>
    <row r="77" spans="2:2" ht="15">
      <c r="B77" s="3"/>
    </row>
    <row r="78" spans="2:2" ht="15">
      <c r="B78" s="3"/>
    </row>
    <row r="79" spans="2:2" ht="15">
      <c r="B79" s="3"/>
    </row>
    <row r="80" spans="2:2" ht="15">
      <c r="B80" s="3"/>
    </row>
    <row r="81" spans="2:2" ht="15">
      <c r="B81" s="3"/>
    </row>
    <row r="82" spans="2:2" ht="15">
      <c r="B82" s="3"/>
    </row>
    <row r="83" spans="2:2" ht="15">
      <c r="B83" s="3"/>
    </row>
    <row r="84" spans="2:2" ht="15">
      <c r="B84" s="3"/>
    </row>
    <row r="85" spans="2:2" ht="15">
      <c r="B85" s="3"/>
    </row>
    <row r="86" spans="2:2" ht="15">
      <c r="B86" s="3"/>
    </row>
    <row r="87" spans="2:2" ht="15">
      <c r="B87" s="3"/>
    </row>
    <row r="88" spans="2:2" ht="15">
      <c r="B88" s="3"/>
    </row>
    <row r="89" spans="2:2" ht="15">
      <c r="B89" s="3"/>
    </row>
    <row r="90" spans="2:2" ht="15">
      <c r="B90" s="3"/>
    </row>
    <row r="91" spans="2:2" ht="15">
      <c r="B91" s="3"/>
    </row>
    <row r="92" spans="2:2" ht="15">
      <c r="B92" s="3"/>
    </row>
    <row r="93" spans="2:2" ht="15">
      <c r="B93" s="3"/>
    </row>
    <row r="94" spans="2:2" ht="15">
      <c r="B94" s="3"/>
    </row>
    <row r="95" spans="2:2" ht="15">
      <c r="B95" s="3"/>
    </row>
    <row r="96" spans="2:2" ht="15">
      <c r="B96" s="3"/>
    </row>
    <row r="97" spans="2:2" ht="15">
      <c r="B97" s="3"/>
    </row>
    <row r="98" spans="2:2" ht="15">
      <c r="B98" s="3"/>
    </row>
    <row r="99" spans="2:2" ht="15">
      <c r="B99" s="3"/>
    </row>
    <row r="100" spans="2:2" ht="15">
      <c r="B100" s="3"/>
    </row>
    <row r="101" spans="2:2" ht="15">
      <c r="B101" s="3"/>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dimension ref="A1:I14"/>
  <sheetViews>
    <sheetView workbookViewId="0">
      <selection activeCell="F4" sqref="F4"/>
    </sheetView>
  </sheetViews>
  <sheetFormatPr defaultRowHeight="26.25"/>
  <cols>
    <col min="1" max="1" width="3.42578125" style="3" customWidth="1"/>
    <col min="2" max="2" width="12.7109375" style="114" customWidth="1"/>
    <col min="3" max="4" width="15.85546875" style="3" customWidth="1"/>
    <col min="5" max="5" width="24" style="3" customWidth="1"/>
    <col min="6" max="9" width="15.85546875" style="3" customWidth="1"/>
    <col min="10" max="10" width="11.5703125" style="3" customWidth="1"/>
    <col min="11" max="26" width="10.28515625" style="3" customWidth="1"/>
    <col min="27" max="29" width="10" style="3" customWidth="1"/>
    <col min="30" max="16384" width="9.140625" style="3"/>
  </cols>
  <sheetData>
    <row r="1" spans="1:9" ht="30">
      <c r="A1" s="113" t="s">
        <v>1759</v>
      </c>
      <c r="E1" s="637" t="s">
        <v>2056</v>
      </c>
      <c r="I1" s="114"/>
    </row>
    <row r="2" spans="1:9" ht="30">
      <c r="A2" s="113" t="s">
        <v>67</v>
      </c>
      <c r="I2" s="114"/>
    </row>
    <row r="3" spans="1:9" ht="15">
      <c r="B3" s="3"/>
    </row>
    <row r="4" spans="1:9" ht="15">
      <c r="B4" s="3"/>
    </row>
    <row r="5" spans="1:9">
      <c r="B5" s="3"/>
      <c r="E5" s="118" t="s">
        <v>1760</v>
      </c>
      <c r="F5" s="114">
        <f>DATEVALUE(E5)</f>
        <v>39449</v>
      </c>
    </row>
    <row r="6" spans="1:9" ht="15">
      <c r="B6" s="3"/>
    </row>
    <row r="7" spans="1:9" ht="15">
      <c r="B7" s="3"/>
    </row>
    <row r="8" spans="1:9" ht="15">
      <c r="B8" s="3"/>
    </row>
    <row r="9" spans="1:9">
      <c r="B9" s="3"/>
      <c r="F9" s="117">
        <f>DAY(F5)</f>
        <v>2</v>
      </c>
    </row>
    <row r="10" spans="1:9" ht="15">
      <c r="B10" s="3"/>
    </row>
    <row r="11" spans="1:9" ht="15">
      <c r="B11" s="3"/>
    </row>
    <row r="12" spans="1:9" ht="15">
      <c r="B12" s="3"/>
    </row>
    <row r="13" spans="1:9" ht="15">
      <c r="B13" s="3"/>
    </row>
    <row r="14" spans="1:9" ht="15">
      <c r="B14" s="3"/>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dimension ref="A1:I14"/>
  <sheetViews>
    <sheetView workbookViewId="0">
      <selection activeCell="F4" sqref="F4"/>
    </sheetView>
  </sheetViews>
  <sheetFormatPr defaultRowHeight="26.25"/>
  <cols>
    <col min="1" max="1" width="3.42578125" style="3" customWidth="1"/>
    <col min="2" max="2" width="12.7109375" style="114" customWidth="1"/>
    <col min="3" max="4" width="15.85546875" style="3" customWidth="1"/>
    <col min="5" max="5" width="8.42578125" style="3" customWidth="1"/>
    <col min="6" max="6" width="27.85546875" style="3" customWidth="1"/>
    <col min="7" max="9" width="15.85546875" style="3" customWidth="1"/>
    <col min="10" max="10" width="11.5703125" style="3" customWidth="1"/>
    <col min="11" max="26" width="10.28515625" style="3" customWidth="1"/>
    <col min="27" max="29" width="10" style="3" customWidth="1"/>
    <col min="30" max="16384" width="9.140625" style="3"/>
  </cols>
  <sheetData>
    <row r="1" spans="1:9" ht="30">
      <c r="A1" s="113" t="s">
        <v>1759</v>
      </c>
      <c r="E1" s="637" t="s">
        <v>2056</v>
      </c>
      <c r="I1" s="114"/>
    </row>
    <row r="2" spans="1:9" ht="30">
      <c r="A2" s="115" t="s">
        <v>444</v>
      </c>
      <c r="I2" s="114"/>
    </row>
    <row r="3" spans="1:9" ht="15">
      <c r="B3" s="3"/>
    </row>
    <row r="4" spans="1:9" ht="15">
      <c r="B4" s="3"/>
    </row>
    <row r="5" spans="1:9">
      <c r="B5" s="3"/>
      <c r="F5" s="116">
        <v>39510</v>
      </c>
    </row>
    <row r="6" spans="1:9" ht="15">
      <c r="B6" s="3"/>
    </row>
    <row r="7" spans="1:9" ht="15">
      <c r="B7" s="3"/>
    </row>
    <row r="8" spans="1:9" ht="15">
      <c r="B8" s="3"/>
    </row>
    <row r="9" spans="1:9">
      <c r="B9" s="3"/>
      <c r="F9" s="117">
        <f>WEEKNUM(F5)</f>
        <v>10</v>
      </c>
    </row>
    <row r="10" spans="1:9" ht="15">
      <c r="B10" s="3"/>
    </row>
    <row r="11" spans="1:9" ht="15">
      <c r="B11" s="3"/>
    </row>
    <row r="12" spans="1:9" ht="15">
      <c r="B12" s="3"/>
    </row>
    <row r="13" spans="1:9" ht="15">
      <c r="B13" s="3"/>
    </row>
    <row r="14" spans="1:9" ht="15">
      <c r="B14" s="3"/>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sheetPr codeName="Sheet2"/>
  <dimension ref="A1:E40"/>
  <sheetViews>
    <sheetView showGridLines="0" zoomScale="70" zoomScaleNormal="70" workbookViewId="0">
      <selection activeCell="F4" sqref="F4"/>
    </sheetView>
  </sheetViews>
  <sheetFormatPr defaultRowHeight="15"/>
  <cols>
    <col min="1" max="1" width="26.42578125" style="3" customWidth="1"/>
    <col min="2" max="2" width="21.7109375" style="3" customWidth="1"/>
    <col min="3" max="3" width="4.7109375" style="3" customWidth="1"/>
    <col min="4" max="4" width="106.140625" style="3" customWidth="1"/>
    <col min="5" max="9" width="9" style="3" customWidth="1"/>
    <col min="10" max="16384" width="9.140625" style="3"/>
  </cols>
  <sheetData>
    <row r="1" spans="1:5" ht="22.5">
      <c r="A1" s="2" t="s">
        <v>20</v>
      </c>
      <c r="E1" s="637" t="s">
        <v>2056</v>
      </c>
    </row>
    <row r="2" spans="1:5">
      <c r="A2" s="3" t="s">
        <v>22</v>
      </c>
    </row>
    <row r="3" spans="1:5">
      <c r="A3" s="3" t="s">
        <v>326</v>
      </c>
    </row>
    <row r="4" spans="1:5">
      <c r="A4" s="3" t="s">
        <v>398</v>
      </c>
    </row>
    <row r="5" spans="1:5">
      <c r="A5" s="3" t="s">
        <v>399</v>
      </c>
    </row>
    <row r="7" spans="1:5" ht="22.5">
      <c r="A7" s="2" t="s">
        <v>21</v>
      </c>
    </row>
    <row r="9" spans="1:5" ht="20.25" thickBot="1">
      <c r="A9" s="104" t="s">
        <v>33</v>
      </c>
      <c r="B9" s="104"/>
      <c r="D9" s="104" t="s">
        <v>352</v>
      </c>
    </row>
    <row r="10" spans="1:5" ht="15.75" thickTop="1">
      <c r="A10" s="105" t="s">
        <v>23</v>
      </c>
      <c r="B10" s="106">
        <f>-PMT(B12/B14,B15,B11)</f>
        <v>1580.1700587324151</v>
      </c>
      <c r="D10" s="3" t="s">
        <v>347</v>
      </c>
    </row>
    <row r="11" spans="1:5">
      <c r="A11" s="8" t="s">
        <v>24</v>
      </c>
      <c r="B11" s="107">
        <v>250000</v>
      </c>
      <c r="D11" s="3" t="s">
        <v>400</v>
      </c>
    </row>
    <row r="12" spans="1:5">
      <c r="A12" s="3" t="s">
        <v>25</v>
      </c>
      <c r="B12" s="108">
        <v>6.5000000000000002E-2</v>
      </c>
      <c r="D12" s="3" t="s">
        <v>401</v>
      </c>
    </row>
    <row r="13" spans="1:5">
      <c r="A13" s="8" t="s">
        <v>26</v>
      </c>
      <c r="B13" s="109">
        <v>30</v>
      </c>
      <c r="D13" s="3" t="s">
        <v>402</v>
      </c>
    </row>
    <row r="14" spans="1:5">
      <c r="A14" s="3" t="s">
        <v>27</v>
      </c>
      <c r="B14" s="48">
        <v>12</v>
      </c>
      <c r="D14" s="3" t="s">
        <v>348</v>
      </c>
    </row>
    <row r="15" spans="1:5">
      <c r="A15" s="8" t="s">
        <v>28</v>
      </c>
      <c r="B15" s="109">
        <f>B13*B14</f>
        <v>360</v>
      </c>
      <c r="D15" s="3" t="s">
        <v>41</v>
      </c>
    </row>
    <row r="17" spans="1:4" ht="20.25" thickBot="1">
      <c r="A17" s="104" t="s">
        <v>32</v>
      </c>
      <c r="B17" s="104"/>
      <c r="D17" s="104" t="s">
        <v>353</v>
      </c>
    </row>
    <row r="18" spans="1:4" ht="15.75" thickTop="1">
      <c r="A18" s="105" t="s">
        <v>23</v>
      </c>
      <c r="B18" s="106">
        <f>-PMT(B20/B22,B23,B19,B24)</f>
        <v>1162.941919697422</v>
      </c>
      <c r="D18" s="3" t="s">
        <v>349</v>
      </c>
    </row>
    <row r="19" spans="1:4">
      <c r="A19" s="8" t="s">
        <v>24</v>
      </c>
      <c r="B19" s="107">
        <v>200000</v>
      </c>
      <c r="D19" s="3" t="s">
        <v>403</v>
      </c>
    </row>
    <row r="20" spans="1:4">
      <c r="A20" s="3" t="s">
        <v>25</v>
      </c>
      <c r="B20" s="108">
        <v>5.5E-2</v>
      </c>
      <c r="D20" s="3" t="s">
        <v>404</v>
      </c>
    </row>
    <row r="21" spans="1:4">
      <c r="A21" s="8" t="s">
        <v>26</v>
      </c>
      <c r="B21" s="109">
        <v>30</v>
      </c>
    </row>
    <row r="22" spans="1:4">
      <c r="A22" s="3" t="s">
        <v>27</v>
      </c>
      <c r="B22" s="48">
        <v>12</v>
      </c>
    </row>
    <row r="23" spans="1:4">
      <c r="A23" s="8" t="s">
        <v>28</v>
      </c>
      <c r="B23" s="109">
        <f>B21*B22</f>
        <v>360</v>
      </c>
    </row>
    <row r="24" spans="1:4">
      <c r="A24" s="102" t="s">
        <v>29</v>
      </c>
      <c r="B24" s="110">
        <v>25000</v>
      </c>
    </row>
    <row r="26" spans="1:4" ht="20.25" thickBot="1">
      <c r="A26" s="104" t="s">
        <v>30</v>
      </c>
      <c r="B26" s="104"/>
      <c r="D26" s="104" t="s">
        <v>354</v>
      </c>
    </row>
    <row r="27" spans="1:4" ht="15.75" thickTop="1">
      <c r="A27" s="105" t="s">
        <v>23</v>
      </c>
      <c r="B27" s="106">
        <f>-PMT(B29/B31,B32,0,B28)</f>
        <v>357.8037234919554</v>
      </c>
      <c r="D27" s="111" t="s">
        <v>350</v>
      </c>
    </row>
    <row r="28" spans="1:4">
      <c r="A28" s="8" t="s">
        <v>31</v>
      </c>
      <c r="B28" s="107">
        <v>50000</v>
      </c>
      <c r="D28" s="3" t="s">
        <v>35</v>
      </c>
    </row>
    <row r="29" spans="1:4">
      <c r="A29" s="3" t="s">
        <v>25</v>
      </c>
      <c r="B29" s="108">
        <v>0.03</v>
      </c>
      <c r="D29" s="23" t="s">
        <v>36</v>
      </c>
    </row>
    <row r="30" spans="1:4">
      <c r="A30" s="8" t="s">
        <v>26</v>
      </c>
      <c r="B30" s="109">
        <v>10</v>
      </c>
      <c r="D30" s="112"/>
    </row>
    <row r="31" spans="1:4">
      <c r="A31" s="3" t="s">
        <v>27</v>
      </c>
      <c r="B31" s="48">
        <v>12</v>
      </c>
      <c r="D31" s="112"/>
    </row>
    <row r="32" spans="1:4">
      <c r="A32" s="8" t="s">
        <v>28</v>
      </c>
      <c r="B32" s="109">
        <f>B30*B31</f>
        <v>120</v>
      </c>
      <c r="D32" s="112"/>
    </row>
    <row r="34" spans="1:4" ht="20.25" thickBot="1">
      <c r="A34" s="104" t="s">
        <v>34</v>
      </c>
      <c r="B34" s="104"/>
      <c r="D34" s="104" t="s">
        <v>355</v>
      </c>
    </row>
    <row r="35" spans="1:4" ht="15.75" thickTop="1">
      <c r="A35" s="105" t="s">
        <v>23</v>
      </c>
      <c r="B35" s="106">
        <f>-PMT(((1+(B37/2))^2)^(1/12)-1,B40,B36)</f>
        <v>1566.0060791492399</v>
      </c>
      <c r="D35" s="3" t="s">
        <v>351</v>
      </c>
    </row>
    <row r="36" spans="1:4">
      <c r="A36" s="8" t="s">
        <v>24</v>
      </c>
      <c r="B36" s="107">
        <v>250000</v>
      </c>
      <c r="D36" s="3" t="s">
        <v>38</v>
      </c>
    </row>
    <row r="37" spans="1:4" ht="15" customHeight="1">
      <c r="A37" s="3" t="s">
        <v>25</v>
      </c>
      <c r="B37" s="108">
        <v>6.5000000000000002E-2</v>
      </c>
      <c r="D37" s="23" t="s">
        <v>39</v>
      </c>
    </row>
    <row r="38" spans="1:4">
      <c r="A38" s="8" t="s">
        <v>26</v>
      </c>
      <c r="B38" s="109">
        <v>30</v>
      </c>
      <c r="D38" s="23" t="s">
        <v>37</v>
      </c>
    </row>
    <row r="39" spans="1:4">
      <c r="A39" s="3" t="s">
        <v>27</v>
      </c>
      <c r="B39" s="48">
        <v>12</v>
      </c>
      <c r="D39" s="23" t="s">
        <v>40</v>
      </c>
    </row>
    <row r="40" spans="1:4">
      <c r="A40" s="8" t="s">
        <v>28</v>
      </c>
      <c r="B40" s="109">
        <f>B38*B39</f>
        <v>360</v>
      </c>
      <c r="D40" s="112"/>
    </row>
  </sheetData>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88.xml><?xml version="1.0" encoding="utf-8"?>
<worksheet xmlns="http://schemas.openxmlformats.org/spreadsheetml/2006/main" xmlns:r="http://schemas.openxmlformats.org/officeDocument/2006/relationships">
  <sheetPr>
    <pageSetUpPr fitToPage="1"/>
  </sheetPr>
  <dimension ref="A1:F44"/>
  <sheetViews>
    <sheetView showGridLines="0" topLeftCell="A7" workbookViewId="0">
      <selection activeCell="F4" sqref="F4"/>
    </sheetView>
  </sheetViews>
  <sheetFormatPr defaultRowHeight="15"/>
  <cols>
    <col min="1" max="1" width="17" style="3" customWidth="1"/>
    <col min="2" max="2" width="13.7109375" style="3" customWidth="1"/>
    <col min="3" max="3" width="11.140625" style="3" customWidth="1"/>
    <col min="4" max="4" width="49.5703125" style="3" customWidth="1"/>
    <col min="5" max="5" width="24.42578125" style="3" customWidth="1"/>
    <col min="6" max="6" width="41.7109375" style="3" customWidth="1"/>
    <col min="7" max="16384" width="9.140625" style="3"/>
  </cols>
  <sheetData>
    <row r="1" spans="1:6" ht="22.5">
      <c r="A1" s="2" t="s">
        <v>42</v>
      </c>
      <c r="E1" s="637" t="s">
        <v>2056</v>
      </c>
    </row>
    <row r="2" spans="1:6">
      <c r="A2" s="3" t="s">
        <v>396</v>
      </c>
    </row>
    <row r="3" spans="1:6">
      <c r="A3" s="3" t="s">
        <v>397</v>
      </c>
    </row>
    <row r="4" spans="1:6" s="98" customFormat="1" ht="11.25"/>
    <row r="5" spans="1:6" ht="18" thickBot="1">
      <c r="A5" s="6" t="s">
        <v>43</v>
      </c>
      <c r="B5" s="6"/>
      <c r="C5" s="6"/>
      <c r="D5" s="6"/>
      <c r="E5" s="7" t="s">
        <v>95</v>
      </c>
      <c r="F5" s="6"/>
    </row>
    <row r="6" spans="1:6" ht="15.75" thickTop="1">
      <c r="A6" s="10" t="s">
        <v>44</v>
      </c>
      <c r="B6" s="10"/>
      <c r="C6" s="10"/>
      <c r="D6" s="10"/>
      <c r="E6" s="10"/>
      <c r="F6" s="10"/>
    </row>
    <row r="7" spans="1:6">
      <c r="A7" s="13">
        <f ca="1">TODAY()</f>
        <v>40261</v>
      </c>
      <c r="B7" s="13">
        <v>39448</v>
      </c>
      <c r="C7" s="3">
        <f ca="1">A7-B7</f>
        <v>813</v>
      </c>
      <c r="D7" s="5" t="s">
        <v>47</v>
      </c>
      <c r="E7" s="4" t="s">
        <v>93</v>
      </c>
    </row>
    <row r="8" spans="1:6" s="98" customFormat="1" ht="11.25"/>
    <row r="9" spans="1:6">
      <c r="A9" s="10" t="s">
        <v>45</v>
      </c>
      <c r="B9" s="10"/>
      <c r="C9" s="10"/>
      <c r="D9" s="10"/>
      <c r="E9" s="10"/>
      <c r="F9" s="10"/>
    </row>
    <row r="10" spans="1:6">
      <c r="A10" s="13">
        <f ca="1">TODAY()</f>
        <v>40261</v>
      </c>
      <c r="B10" s="3">
        <v>90</v>
      </c>
      <c r="C10" s="13">
        <f ca="1">A10+B10</f>
        <v>40351</v>
      </c>
      <c r="D10" s="5" t="s">
        <v>46</v>
      </c>
      <c r="E10" s="4" t="s">
        <v>94</v>
      </c>
    </row>
    <row r="11" spans="1:6" s="98" customFormat="1" ht="11.25"/>
    <row r="12" spans="1:6" ht="18" thickBot="1">
      <c r="A12" s="15" t="s">
        <v>42</v>
      </c>
      <c r="B12" s="6"/>
      <c r="C12" s="15"/>
      <c r="D12" s="16"/>
      <c r="E12" s="6" t="s">
        <v>96</v>
      </c>
      <c r="F12" s="6" t="s">
        <v>48</v>
      </c>
    </row>
    <row r="13" spans="1:6" ht="15.75" thickTop="1">
      <c r="A13" s="10" t="s">
        <v>49</v>
      </c>
      <c r="B13" s="10" t="s">
        <v>50</v>
      </c>
      <c r="C13" s="10"/>
      <c r="D13" s="10"/>
      <c r="E13" s="8" t="s">
        <v>96</v>
      </c>
      <c r="F13" s="10"/>
    </row>
    <row r="14" spans="1:6">
      <c r="A14" s="13">
        <f ca="1">TODAY()</f>
        <v>40261</v>
      </c>
      <c r="B14" s="3">
        <v>3</v>
      </c>
      <c r="C14" s="13">
        <f ca="1">EDATE(A14,B14)</f>
        <v>40353</v>
      </c>
      <c r="D14" s="5" t="s">
        <v>321</v>
      </c>
      <c r="E14" s="4" t="s">
        <v>85</v>
      </c>
      <c r="F14" s="3" t="s">
        <v>322</v>
      </c>
    </row>
    <row r="15" spans="1:6" s="98" customFormat="1" ht="11.25"/>
    <row r="16" spans="1:6">
      <c r="A16" s="10" t="s">
        <v>51</v>
      </c>
      <c r="B16" s="10" t="s">
        <v>52</v>
      </c>
      <c r="C16" s="10"/>
      <c r="D16" s="18"/>
      <c r="E16" s="8"/>
      <c r="F16" s="10"/>
    </row>
    <row r="17" spans="1:6">
      <c r="A17" s="13">
        <f ca="1">TODAY()</f>
        <v>40261</v>
      </c>
      <c r="B17" s="3">
        <v>0</v>
      </c>
      <c r="C17" s="13">
        <f ca="1">EOMONTH(A17,B17)</f>
        <v>40268</v>
      </c>
      <c r="D17" s="5" t="s">
        <v>53</v>
      </c>
      <c r="E17" s="19" t="s">
        <v>86</v>
      </c>
      <c r="F17" s="3" t="s">
        <v>323</v>
      </c>
    </row>
    <row r="18" spans="1:6">
      <c r="A18" s="13">
        <f ca="1">TODAY()</f>
        <v>40261</v>
      </c>
      <c r="B18" s="3">
        <v>1</v>
      </c>
      <c r="C18" s="13">
        <f ca="1">EOMONTH(A18,B18)</f>
        <v>40298</v>
      </c>
      <c r="D18" s="5" t="s">
        <v>54</v>
      </c>
      <c r="E18" s="19" t="s">
        <v>87</v>
      </c>
    </row>
    <row r="19" spans="1:6">
      <c r="A19" s="13">
        <f ca="1">TODAY()</f>
        <v>40261</v>
      </c>
      <c r="B19" s="3">
        <v>3</v>
      </c>
      <c r="C19" s="13">
        <f ca="1">EOMONTH(A19,B19)</f>
        <v>40359</v>
      </c>
      <c r="D19" s="5" t="s">
        <v>55</v>
      </c>
      <c r="E19" s="19" t="s">
        <v>88</v>
      </c>
    </row>
    <row r="20" spans="1:6" s="98" customFormat="1" ht="11.25"/>
    <row r="21" spans="1:6">
      <c r="A21" s="99" t="s">
        <v>56</v>
      </c>
      <c r="B21" s="10" t="s">
        <v>57</v>
      </c>
      <c r="C21" s="10"/>
      <c r="D21" s="10"/>
      <c r="E21" s="8"/>
      <c r="F21" s="10"/>
    </row>
    <row r="22" spans="1:6">
      <c r="A22" s="13">
        <f ca="1">TODAY()</f>
        <v>40261</v>
      </c>
      <c r="B22" s="13">
        <f ca="1">C17</f>
        <v>40268</v>
      </c>
      <c r="C22" s="3">
        <f ca="1">NETWORKDAYS(A22,B22)</f>
        <v>6</v>
      </c>
      <c r="D22" s="5" t="s">
        <v>64</v>
      </c>
      <c r="E22" s="4" t="s">
        <v>89</v>
      </c>
      <c r="F22" s="3" t="s">
        <v>324</v>
      </c>
    </row>
    <row r="23" spans="1:6" ht="30">
      <c r="A23" s="22">
        <f ca="1">TODAY()</f>
        <v>40261</v>
      </c>
      <c r="B23" s="22">
        <f ca="1">C18</f>
        <v>40298</v>
      </c>
      <c r="C23" s="23">
        <f ca="1">NETWORKDAYS(A23,B23)</f>
        <v>28</v>
      </c>
      <c r="D23" s="24" t="s">
        <v>65</v>
      </c>
      <c r="E23" s="25" t="s">
        <v>90</v>
      </c>
      <c r="F23" s="26" t="s">
        <v>58</v>
      </c>
    </row>
    <row r="24" spans="1:6" s="98" customFormat="1" ht="11.25"/>
    <row r="25" spans="1:6">
      <c r="A25" s="99" t="s">
        <v>59</v>
      </c>
      <c r="B25" s="10" t="s">
        <v>60</v>
      </c>
      <c r="C25" s="10"/>
      <c r="D25" s="10"/>
      <c r="E25" s="8"/>
      <c r="F25" s="10"/>
    </row>
    <row r="26" spans="1:6">
      <c r="A26" s="13">
        <f ca="1">TODAY()</f>
        <v>40261</v>
      </c>
      <c r="B26" s="3">
        <v>5</v>
      </c>
      <c r="C26" s="13">
        <f ca="1">WORKDAY(A26,-B26)</f>
        <v>40254</v>
      </c>
      <c r="D26" s="5" t="s">
        <v>61</v>
      </c>
      <c r="E26" s="4" t="s">
        <v>91</v>
      </c>
      <c r="F26" s="3" t="s">
        <v>325</v>
      </c>
    </row>
    <row r="27" spans="1:6" ht="30">
      <c r="A27" s="22">
        <f ca="1">TODAY()</f>
        <v>40261</v>
      </c>
      <c r="B27" s="23">
        <v>45</v>
      </c>
      <c r="C27" s="22">
        <f ca="1">WORKDAY(A27,B27)</f>
        <v>40324</v>
      </c>
      <c r="D27" s="24" t="s">
        <v>62</v>
      </c>
      <c r="E27" s="25" t="s">
        <v>92</v>
      </c>
      <c r="F27" s="26" t="s">
        <v>58</v>
      </c>
    </row>
    <row r="28" spans="1:6" s="98" customFormat="1" ht="11.25"/>
    <row r="29" spans="1:6" ht="18" thickBot="1">
      <c r="A29" s="15" t="s">
        <v>66</v>
      </c>
      <c r="B29" s="6"/>
      <c r="C29" s="15"/>
      <c r="D29" s="16"/>
      <c r="E29" s="6" t="s">
        <v>97</v>
      </c>
      <c r="F29" s="6" t="s">
        <v>48</v>
      </c>
    </row>
    <row r="30" spans="1:6" ht="15.75" thickTop="1">
      <c r="A30" s="8" t="s">
        <v>67</v>
      </c>
      <c r="B30" s="8" t="s">
        <v>68</v>
      </c>
      <c r="C30" s="10"/>
      <c r="D30" s="10"/>
      <c r="E30" s="10"/>
      <c r="F30" s="10"/>
    </row>
    <row r="31" spans="1:6">
      <c r="A31" s="13">
        <f ca="1">TODAY()</f>
        <v>40261</v>
      </c>
      <c r="B31" s="3">
        <f ca="1">DAY(A31)</f>
        <v>24</v>
      </c>
      <c r="E31" s="4" t="s">
        <v>69</v>
      </c>
      <c r="F31" s="3" t="s">
        <v>71</v>
      </c>
    </row>
    <row r="32" spans="1:6" s="98" customFormat="1" ht="11.25"/>
    <row r="33" spans="1:6">
      <c r="A33" s="99" t="s">
        <v>72</v>
      </c>
      <c r="B33" s="10" t="s">
        <v>73</v>
      </c>
      <c r="C33" s="10"/>
      <c r="D33" s="10"/>
      <c r="E33" s="10"/>
      <c r="F33" s="10"/>
    </row>
    <row r="34" spans="1:6">
      <c r="A34" s="13">
        <f t="shared" ref="A34:A40" ca="1" si="0">TODAY()</f>
        <v>40261</v>
      </c>
      <c r="B34" s="3">
        <f ca="1">MONTH(A34)</f>
        <v>3</v>
      </c>
      <c r="E34" s="4" t="s">
        <v>74</v>
      </c>
      <c r="F34" s="3" t="s">
        <v>75</v>
      </c>
    </row>
    <row r="35" spans="1:6" s="98" customFormat="1" ht="11.25"/>
    <row r="36" spans="1:6">
      <c r="A36" s="99" t="s">
        <v>76</v>
      </c>
      <c r="B36" s="10" t="s">
        <v>77</v>
      </c>
      <c r="C36" s="10"/>
      <c r="D36" s="10"/>
      <c r="E36" s="10"/>
      <c r="F36" s="10"/>
    </row>
    <row r="37" spans="1:6">
      <c r="A37" s="13">
        <f t="shared" ca="1" si="0"/>
        <v>40261</v>
      </c>
      <c r="B37" s="3">
        <f ca="1">YEAR(A37)</f>
        <v>2010</v>
      </c>
      <c r="E37" s="4" t="s">
        <v>78</v>
      </c>
      <c r="F37" s="3" t="s">
        <v>79</v>
      </c>
    </row>
    <row r="38" spans="1:6" s="98" customFormat="1" ht="11.25"/>
    <row r="39" spans="1:6">
      <c r="A39" s="99" t="s">
        <v>80</v>
      </c>
      <c r="B39" s="10" t="s">
        <v>81</v>
      </c>
      <c r="C39" s="10"/>
      <c r="D39" s="10"/>
      <c r="E39" s="100"/>
      <c r="F39" s="10"/>
    </row>
    <row r="40" spans="1:6">
      <c r="A40" s="13">
        <f t="shared" ca="1" si="0"/>
        <v>40261</v>
      </c>
      <c r="E40" s="101" t="s">
        <v>82</v>
      </c>
      <c r="F40" s="102" t="s">
        <v>83</v>
      </c>
    </row>
    <row r="41" spans="1:6" s="98" customFormat="1" ht="11.25"/>
    <row r="42" spans="1:6">
      <c r="A42" s="20" t="s">
        <v>164</v>
      </c>
      <c r="B42" s="8" t="s">
        <v>167</v>
      </c>
      <c r="C42" s="10"/>
      <c r="D42" s="10"/>
      <c r="E42" s="8"/>
      <c r="F42" s="10"/>
    </row>
    <row r="43" spans="1:6">
      <c r="A43" s="27">
        <f ca="1">NOW()</f>
        <v>40261.881381481478</v>
      </c>
      <c r="B43" s="21">
        <f ca="1">NOW()</f>
        <v>40261.881381481478</v>
      </c>
      <c r="D43" s="665" t="s">
        <v>168</v>
      </c>
      <c r="E43" s="103" t="s">
        <v>173</v>
      </c>
      <c r="F43" s="3" t="s">
        <v>165</v>
      </c>
    </row>
    <row r="44" spans="1:6">
      <c r="A44" s="3" t="s">
        <v>169</v>
      </c>
      <c r="B44" s="3" t="s">
        <v>170</v>
      </c>
      <c r="D44" s="665"/>
    </row>
  </sheetData>
  <mergeCells count="1">
    <mergeCell ref="D43:D44"/>
  </mergeCells>
  <phoneticPr fontId="0" type="noConversion"/>
  <printOptions horizontalCentered="1"/>
  <pageMargins left="0.5" right="0.5" top="0.75" bottom="0.75" header="0.3" footer="0.3"/>
  <pageSetup scale="78" orientation="landscape" r:id="rId1"/>
  <headerFooter>
    <oddFooter>&amp;LBoni Mays
Fayetteville Technical Community College&amp;C&amp;P&amp;Rwww.maysstuff.com</oddFooter>
  </headerFooter>
</worksheet>
</file>

<file path=xl/worksheets/sheet89.xml><?xml version="1.0" encoding="utf-8"?>
<worksheet xmlns="http://schemas.openxmlformats.org/spreadsheetml/2006/main" xmlns:r="http://schemas.openxmlformats.org/officeDocument/2006/relationships">
  <sheetPr enableFormatConditionsCalculation="0">
    <pageSetUpPr fitToPage="1"/>
  </sheetPr>
  <dimension ref="A1:K26"/>
  <sheetViews>
    <sheetView showGridLines="0" workbookViewId="0">
      <selection activeCell="F4" sqref="F4"/>
    </sheetView>
  </sheetViews>
  <sheetFormatPr defaultRowHeight="15"/>
  <cols>
    <col min="1" max="1" width="15.7109375" style="3" customWidth="1"/>
    <col min="2" max="2" width="12.85546875" style="3" customWidth="1"/>
    <col min="3" max="3" width="4.7109375" style="3" customWidth="1"/>
    <col min="4" max="8" width="9.140625" style="3"/>
    <col min="9" max="9" width="28.7109375" style="3" bestFit="1" customWidth="1"/>
    <col min="10" max="10" width="4.7109375" style="3" customWidth="1"/>
    <col min="11" max="11" width="63.85546875" style="3" customWidth="1"/>
    <col min="12" max="16384" width="9.140625" style="3"/>
  </cols>
  <sheetData>
    <row r="1" spans="1:11" ht="22.5">
      <c r="A1" s="2" t="s">
        <v>84</v>
      </c>
      <c r="E1" s="637" t="s">
        <v>2056</v>
      </c>
    </row>
    <row r="2" spans="1:11">
      <c r="A2" s="3" t="s">
        <v>114</v>
      </c>
    </row>
    <row r="4" spans="1:11" ht="18" thickBot="1">
      <c r="A4" s="6" t="s">
        <v>70</v>
      </c>
      <c r="B4" s="6" t="s">
        <v>100</v>
      </c>
      <c r="C4" s="6"/>
      <c r="D4" s="6"/>
      <c r="E4" s="6"/>
      <c r="F4" s="6"/>
      <c r="G4" s="6"/>
      <c r="H4" s="6"/>
      <c r="I4" s="6" t="s">
        <v>70</v>
      </c>
      <c r="J4" s="6"/>
      <c r="K4" s="6" t="s">
        <v>48</v>
      </c>
    </row>
    <row r="5" spans="1:11" ht="15.75" thickTop="1">
      <c r="A5" s="83" t="s">
        <v>98</v>
      </c>
      <c r="B5" s="84" t="s">
        <v>101</v>
      </c>
      <c r="C5" s="83"/>
      <c r="D5" s="83"/>
      <c r="E5" s="83"/>
      <c r="F5" s="83"/>
      <c r="G5" s="83"/>
      <c r="H5" s="83"/>
      <c r="I5" s="83"/>
      <c r="J5" s="83"/>
      <c r="K5" s="83"/>
    </row>
    <row r="6" spans="1:11">
      <c r="A6" s="3" t="s">
        <v>108</v>
      </c>
      <c r="B6" s="85" t="s">
        <v>103</v>
      </c>
      <c r="D6" s="86"/>
      <c r="E6" s="86" t="s">
        <v>102</v>
      </c>
      <c r="F6" s="86" t="s">
        <v>103</v>
      </c>
      <c r="G6" s="86" t="s">
        <v>104</v>
      </c>
      <c r="K6" s="3" t="s">
        <v>105</v>
      </c>
    </row>
    <row r="7" spans="1:11">
      <c r="A7" s="3" t="s">
        <v>109</v>
      </c>
      <c r="B7" s="87">
        <v>2</v>
      </c>
      <c r="D7" s="88">
        <v>2005</v>
      </c>
      <c r="E7" s="89">
        <v>2195</v>
      </c>
      <c r="F7" s="89">
        <v>2333</v>
      </c>
      <c r="G7" s="89">
        <v>1032</v>
      </c>
      <c r="I7" s="3" t="s">
        <v>119</v>
      </c>
      <c r="K7" s="3" t="s">
        <v>106</v>
      </c>
    </row>
    <row r="8" spans="1:11">
      <c r="D8" s="88">
        <v>2006</v>
      </c>
      <c r="E8" s="90">
        <v>1854</v>
      </c>
      <c r="F8" s="90">
        <v>2939</v>
      </c>
      <c r="G8" s="90">
        <v>2040</v>
      </c>
      <c r="I8" s="3" t="s">
        <v>112</v>
      </c>
      <c r="K8" s="3" t="s">
        <v>107</v>
      </c>
    </row>
    <row r="9" spans="1:11">
      <c r="A9" s="3" t="s">
        <v>110</v>
      </c>
      <c r="B9" s="91">
        <f>HLOOKUP(B6,D6:G9,B7,0)</f>
        <v>2333</v>
      </c>
      <c r="D9" s="88">
        <v>2007</v>
      </c>
      <c r="E9" s="89">
        <v>2847</v>
      </c>
      <c r="F9" s="89">
        <v>1325</v>
      </c>
      <c r="G9" s="89">
        <v>1203</v>
      </c>
      <c r="I9" s="4" t="s">
        <v>111</v>
      </c>
      <c r="K9" s="3" t="s">
        <v>408</v>
      </c>
    </row>
    <row r="10" spans="1:11" ht="45">
      <c r="I10" s="92" t="s">
        <v>409</v>
      </c>
      <c r="K10" s="92" t="s">
        <v>410</v>
      </c>
    </row>
    <row r="11" spans="1:11">
      <c r="A11" s="93">
        <v>15</v>
      </c>
      <c r="B11" s="93" t="str">
        <f>HLOOKUP(A11,D11:G12,2)</f>
        <v>Blue</v>
      </c>
      <c r="D11" s="94">
        <v>0</v>
      </c>
      <c r="E11" s="94">
        <v>25</v>
      </c>
      <c r="F11" s="94">
        <v>50</v>
      </c>
      <c r="G11" s="94">
        <v>75</v>
      </c>
      <c r="I11" s="4" t="s">
        <v>124</v>
      </c>
      <c r="K11" s="92"/>
    </row>
    <row r="12" spans="1:11">
      <c r="A12" s="93">
        <v>51</v>
      </c>
      <c r="B12" s="93" t="str">
        <f>HLOOKUP(A12,D11:G12,2)</f>
        <v>Red</v>
      </c>
      <c r="D12" s="94" t="s">
        <v>120</v>
      </c>
      <c r="E12" s="94" t="s">
        <v>121</v>
      </c>
      <c r="F12" s="94" t="s">
        <v>122</v>
      </c>
      <c r="G12" s="94" t="s">
        <v>123</v>
      </c>
      <c r="I12" s="4" t="s">
        <v>125</v>
      </c>
      <c r="K12" s="92"/>
    </row>
    <row r="13" spans="1:11">
      <c r="A13" s="93">
        <v>90</v>
      </c>
      <c r="B13" s="93" t="str">
        <f>HLOOKUP(A13,D11:G12,2)</f>
        <v>Yellow</v>
      </c>
      <c r="I13" s="4" t="s">
        <v>126</v>
      </c>
      <c r="K13" s="92"/>
    </row>
    <row r="14" spans="1:11">
      <c r="K14" s="92"/>
    </row>
    <row r="16" spans="1:11">
      <c r="A16" s="83" t="s">
        <v>99</v>
      </c>
      <c r="B16" s="84" t="s">
        <v>115</v>
      </c>
      <c r="C16" s="83"/>
      <c r="D16" s="83"/>
      <c r="E16" s="83"/>
      <c r="F16" s="83"/>
      <c r="G16" s="83"/>
      <c r="H16" s="83"/>
      <c r="I16" s="83"/>
      <c r="J16" s="83"/>
      <c r="K16" s="83"/>
    </row>
    <row r="17" spans="1:11">
      <c r="A17" s="3" t="s">
        <v>108</v>
      </c>
      <c r="B17" s="95">
        <v>2006</v>
      </c>
      <c r="D17" s="86"/>
      <c r="E17" s="86" t="s">
        <v>102</v>
      </c>
      <c r="F17" s="86" t="s">
        <v>103</v>
      </c>
      <c r="G17" s="86" t="s">
        <v>104</v>
      </c>
      <c r="K17" s="3" t="s">
        <v>118</v>
      </c>
    </row>
    <row r="18" spans="1:11">
      <c r="A18" s="3" t="s">
        <v>116</v>
      </c>
      <c r="B18" s="96">
        <v>2</v>
      </c>
      <c r="D18" s="88">
        <v>2005</v>
      </c>
      <c r="E18" s="89">
        <v>2195</v>
      </c>
      <c r="F18" s="89">
        <v>2333</v>
      </c>
      <c r="G18" s="89">
        <v>1032</v>
      </c>
      <c r="I18" s="3" t="s">
        <v>119</v>
      </c>
      <c r="K18" s="3" t="s">
        <v>117</v>
      </c>
    </row>
    <row r="19" spans="1:11">
      <c r="D19" s="88">
        <v>2006</v>
      </c>
      <c r="E19" s="90">
        <v>1854</v>
      </c>
      <c r="F19" s="90">
        <v>2939</v>
      </c>
      <c r="G19" s="90">
        <v>2040</v>
      </c>
      <c r="I19" s="3" t="s">
        <v>127</v>
      </c>
      <c r="K19" s="3" t="s">
        <v>107</v>
      </c>
    </row>
    <row r="20" spans="1:11">
      <c r="A20" s="3" t="s">
        <v>110</v>
      </c>
      <c r="B20" s="97">
        <f>VLOOKUP(B17,D17:G20,B18,0)</f>
        <v>1854</v>
      </c>
      <c r="D20" s="88">
        <v>2007</v>
      </c>
      <c r="E20" s="89">
        <v>2847</v>
      </c>
      <c r="F20" s="89">
        <v>1325</v>
      </c>
      <c r="G20" s="89">
        <v>1203</v>
      </c>
      <c r="I20" s="4" t="s">
        <v>128</v>
      </c>
      <c r="K20" s="3" t="s">
        <v>411</v>
      </c>
    </row>
    <row r="21" spans="1:11" ht="45">
      <c r="A21" s="57" t="s">
        <v>327</v>
      </c>
      <c r="B21" s="57" t="s">
        <v>328</v>
      </c>
      <c r="C21" s="57"/>
      <c r="D21" s="57" t="s">
        <v>329</v>
      </c>
      <c r="E21" s="57" t="s">
        <v>328</v>
      </c>
      <c r="I21" s="92" t="s">
        <v>409</v>
      </c>
      <c r="K21" s="92" t="s">
        <v>412</v>
      </c>
    </row>
    <row r="22" spans="1:11">
      <c r="A22" s="93">
        <v>83</v>
      </c>
      <c r="B22" s="93" t="str">
        <f>VLOOKUP(A22,$D$22:$E$26,2)</f>
        <v>B</v>
      </c>
      <c r="D22" s="93">
        <v>0</v>
      </c>
      <c r="E22" s="93" t="s">
        <v>113</v>
      </c>
      <c r="I22" s="4" t="s">
        <v>129</v>
      </c>
    </row>
    <row r="23" spans="1:11">
      <c r="A23" s="93">
        <v>72</v>
      </c>
      <c r="B23" s="93" t="str">
        <f>VLOOKUP(A23,$D$22:$E$26,2)</f>
        <v>C</v>
      </c>
      <c r="D23" s="93">
        <v>60</v>
      </c>
      <c r="E23" s="93" t="s">
        <v>16</v>
      </c>
      <c r="I23" s="4" t="s">
        <v>130</v>
      </c>
    </row>
    <row r="24" spans="1:11">
      <c r="A24" s="93">
        <v>99</v>
      </c>
      <c r="B24" s="93" t="str">
        <f>VLOOKUP(A24,$D$22:$E$26,2)</f>
        <v>A</v>
      </c>
      <c r="D24" s="93">
        <v>70</v>
      </c>
      <c r="E24" s="93" t="s">
        <v>15</v>
      </c>
      <c r="I24" s="4" t="s">
        <v>131</v>
      </c>
    </row>
    <row r="25" spans="1:11">
      <c r="A25" s="93">
        <v>55</v>
      </c>
      <c r="B25" s="93" t="str">
        <f>VLOOKUP(A25,$D$22:$E$26,2)</f>
        <v>E</v>
      </c>
      <c r="D25" s="93">
        <v>80</v>
      </c>
      <c r="E25" s="93" t="s">
        <v>14</v>
      </c>
      <c r="I25" s="4" t="s">
        <v>132</v>
      </c>
    </row>
    <row r="26" spans="1:11">
      <c r="A26" s="93">
        <v>90</v>
      </c>
      <c r="B26" s="93" t="str">
        <f>VLOOKUP(A26,$D$22:$E$26,2)</f>
        <v>A</v>
      </c>
      <c r="D26" s="93">
        <v>90</v>
      </c>
      <c r="E26" s="93" t="s">
        <v>13</v>
      </c>
      <c r="I26" s="4" t="s">
        <v>133</v>
      </c>
    </row>
  </sheetData>
  <phoneticPr fontId="0" type="noConversion"/>
  <printOptions horizontalCentered="1"/>
  <pageMargins left="0.5" right="0.5" top="0.75" bottom="0.75" header="0.3" footer="0.3"/>
  <pageSetup scale="72" orientation="landscape" r:id="rId1"/>
  <headerFooter alignWithMargins="0">
    <oddFooter>&amp;LBoni Mays
Fayetteville Technical Community College&amp;C&amp;P&amp;Rwww.maysstuff.com</oddFooter>
  </headerFooter>
</worksheet>
</file>

<file path=xl/worksheets/sheet9.xml><?xml version="1.0" encoding="utf-8"?>
<worksheet xmlns="http://schemas.openxmlformats.org/spreadsheetml/2006/main" xmlns:r="http://schemas.openxmlformats.org/officeDocument/2006/relationships">
  <dimension ref="A1:F16"/>
  <sheetViews>
    <sheetView showGridLines="0" zoomScale="120" zoomScaleNormal="120" workbookViewId="0">
      <selection activeCell="F4" sqref="F4"/>
    </sheetView>
  </sheetViews>
  <sheetFormatPr defaultRowHeight="15"/>
  <cols>
    <col min="1" max="1" width="9.140625" style="3"/>
    <col min="2" max="2" width="12.7109375" style="3" customWidth="1"/>
    <col min="3" max="3" width="21.85546875" style="3" customWidth="1"/>
    <col min="4" max="4" width="12.7109375" style="3" customWidth="1"/>
    <col min="5" max="5" width="23.7109375" style="3" customWidth="1"/>
    <col min="6" max="6" width="12.7109375" style="3" customWidth="1"/>
    <col min="7" max="16384" width="9.140625" style="3"/>
  </cols>
  <sheetData>
    <row r="1" spans="1:6" ht="18.75">
      <c r="A1" s="513" t="s">
        <v>523</v>
      </c>
      <c r="E1" s="637" t="s">
        <v>2056</v>
      </c>
    </row>
    <row r="2" spans="1:6">
      <c r="B2" s="463" t="s">
        <v>637</v>
      </c>
      <c r="D2" s="463" t="s">
        <v>638</v>
      </c>
      <c r="F2" s="463" t="s">
        <v>639</v>
      </c>
    </row>
    <row r="4" spans="1:6">
      <c r="B4" s="422">
        <v>654</v>
      </c>
      <c r="C4" s="422"/>
      <c r="D4" s="422">
        <v>654</v>
      </c>
      <c r="E4" s="422"/>
      <c r="F4" s="422">
        <v>654</v>
      </c>
    </row>
    <row r="5" spans="1:6">
      <c r="B5" s="422">
        <v>8475</v>
      </c>
      <c r="C5" s="422"/>
      <c r="D5" s="422">
        <v>8475</v>
      </c>
      <c r="E5" s="422"/>
      <c r="F5" s="422">
        <v>8475</v>
      </c>
    </row>
    <row r="6" spans="1:6">
      <c r="B6" s="422">
        <v>5676</v>
      </c>
      <c r="C6" s="422"/>
      <c r="D6" s="422">
        <v>5676</v>
      </c>
      <c r="E6" s="422"/>
      <c r="F6" s="422">
        <v>5676</v>
      </c>
    </row>
    <row r="7" spans="1:6">
      <c r="B7" s="422">
        <v>865</v>
      </c>
      <c r="C7" s="422"/>
      <c r="D7" s="422">
        <v>865</v>
      </c>
      <c r="E7" s="422"/>
      <c r="F7" s="422">
        <v>865</v>
      </c>
    </row>
    <row r="8" spans="1:6">
      <c r="B8" s="422">
        <v>866</v>
      </c>
      <c r="C8" s="422"/>
      <c r="D8" s="422">
        <v>866</v>
      </c>
      <c r="E8" s="422"/>
      <c r="F8" s="422">
        <v>866</v>
      </c>
    </row>
    <row r="9" spans="1:6">
      <c r="B9" s="422">
        <v>6576</v>
      </c>
      <c r="C9" s="422"/>
      <c r="D9" s="422">
        <v>6576</v>
      </c>
      <c r="E9" s="422"/>
      <c r="F9" s="422">
        <v>6576</v>
      </c>
    </row>
    <row r="10" spans="1:6">
      <c r="B10" s="422">
        <v>858</v>
      </c>
      <c r="C10" s="422"/>
      <c r="D10" s="422">
        <v>858</v>
      </c>
      <c r="E10" s="422"/>
      <c r="F10" s="422">
        <v>858</v>
      </c>
    </row>
    <row r="11" spans="1:6">
      <c r="B11" s="422">
        <v>457</v>
      </c>
      <c r="C11" s="422"/>
      <c r="D11" s="422">
        <v>457</v>
      </c>
      <c r="E11" s="422"/>
      <c r="F11" s="422">
        <v>457</v>
      </c>
    </row>
    <row r="12" spans="1:6" ht="15.75" thickBot="1">
      <c r="B12" s="465">
        <f>SUM(B4,B5,B6,B7,B8,B9,B10,B11)</f>
        <v>24427</v>
      </c>
      <c r="C12" s="422"/>
      <c r="D12" s="465">
        <f>D4+D5+D6+D7+D8+D9+D10+D11</f>
        <v>24427</v>
      </c>
      <c r="E12" s="422"/>
      <c r="F12" s="465">
        <f>SUM(F4:F11)</f>
        <v>24427</v>
      </c>
    </row>
    <row r="13" spans="1:6" ht="15.75" thickTop="1">
      <c r="C13" s="422"/>
      <c r="E13" s="422"/>
    </row>
    <row r="14" spans="1:6" ht="15.75" thickBot="1">
      <c r="B14" s="465" t="s">
        <v>634</v>
      </c>
      <c r="C14" s="422"/>
      <c r="D14" s="465" t="s">
        <v>635</v>
      </c>
      <c r="E14" s="422"/>
      <c r="F14" s="465" t="s">
        <v>636</v>
      </c>
    </row>
    <row r="15" spans="1:6" ht="15.75" thickTop="1">
      <c r="E15" s="422"/>
    </row>
    <row r="16" spans="1:6">
      <c r="E16" s="422"/>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dimension ref="A1:F33"/>
  <sheetViews>
    <sheetView showGridLines="0" workbookViewId="0">
      <selection activeCell="F4" sqref="F4"/>
    </sheetView>
  </sheetViews>
  <sheetFormatPr defaultRowHeight="15"/>
  <cols>
    <col min="1" max="1" width="17.7109375" style="3" customWidth="1"/>
    <col min="2" max="2" width="14.5703125" style="3" customWidth="1"/>
    <col min="3" max="3" width="13.7109375" style="3" customWidth="1"/>
    <col min="4" max="4" width="50.42578125" style="3" customWidth="1"/>
    <col min="5" max="5" width="27.85546875" style="3" customWidth="1"/>
    <col min="6" max="6" width="34.85546875" style="3" customWidth="1"/>
    <col min="7" max="16384" width="9.140625" style="3"/>
  </cols>
  <sheetData>
    <row r="1" spans="1:6" ht="22.5">
      <c r="A1" s="2" t="s">
        <v>134</v>
      </c>
      <c r="E1" s="637" t="s">
        <v>2056</v>
      </c>
    </row>
    <row r="2" spans="1:6">
      <c r="A2" s="3" t="s">
        <v>143</v>
      </c>
    </row>
    <row r="3" spans="1:6">
      <c r="A3" s="3" t="s">
        <v>144</v>
      </c>
    </row>
    <row r="4" spans="1:6">
      <c r="A4" s="3" t="s">
        <v>63</v>
      </c>
    </row>
    <row r="6" spans="1:6" ht="18" thickBot="1">
      <c r="A6" s="6" t="s">
        <v>135</v>
      </c>
      <c r="B6" s="6"/>
      <c r="C6" s="6"/>
      <c r="D6" s="6"/>
      <c r="E6" s="7" t="s">
        <v>95</v>
      </c>
      <c r="F6" s="6" t="s">
        <v>141</v>
      </c>
    </row>
    <row r="7" spans="1:6" ht="15.75" thickTop="1">
      <c r="A7" s="8" t="s">
        <v>136</v>
      </c>
      <c r="B7" s="9"/>
      <c r="C7" s="10"/>
      <c r="D7" s="10"/>
      <c r="E7" s="10"/>
      <c r="F7" s="10"/>
    </row>
    <row r="8" spans="1:6">
      <c r="A8" s="11">
        <v>0.39583333333333298</v>
      </c>
      <c r="B8" s="11">
        <v>0.70833333333333304</v>
      </c>
      <c r="C8" s="12">
        <f>B8-A8</f>
        <v>0.31250000000000006</v>
      </c>
      <c r="D8" s="5" t="s">
        <v>137</v>
      </c>
      <c r="E8" s="4" t="s">
        <v>138</v>
      </c>
      <c r="F8" s="3" t="s">
        <v>142</v>
      </c>
    </row>
    <row r="9" spans="1:6">
      <c r="A9" s="13"/>
      <c r="B9" s="13"/>
      <c r="D9" s="5"/>
      <c r="E9" s="4"/>
    </row>
    <row r="10" spans="1:6">
      <c r="A10" s="8" t="s">
        <v>139</v>
      </c>
      <c r="B10" s="10"/>
      <c r="C10" s="10"/>
      <c r="D10" s="10"/>
      <c r="E10" s="10"/>
      <c r="F10" s="10"/>
    </row>
    <row r="11" spans="1:6">
      <c r="A11" s="14">
        <v>0.54166666666666696</v>
      </c>
      <c r="B11" s="14">
        <v>0.5</v>
      </c>
      <c r="C11" s="12">
        <f>SUM(A11:B11)</f>
        <v>1.041666666666667</v>
      </c>
      <c r="D11" s="5" t="s">
        <v>140</v>
      </c>
      <c r="E11" s="4" t="s">
        <v>94</v>
      </c>
      <c r="F11" s="3" t="s">
        <v>142</v>
      </c>
    </row>
    <row r="12" spans="1:6">
      <c r="A12" s="13"/>
      <c r="C12" s="13"/>
      <c r="D12" s="5"/>
      <c r="E12" s="4"/>
    </row>
    <row r="13" spans="1:6" ht="18" thickBot="1">
      <c r="A13" s="15" t="s">
        <v>134</v>
      </c>
      <c r="B13" s="6"/>
      <c r="C13" s="15"/>
      <c r="D13" s="16"/>
      <c r="E13" s="6" t="s">
        <v>97</v>
      </c>
      <c r="F13" s="6" t="s">
        <v>48</v>
      </c>
    </row>
    <row r="14" spans="1:6" ht="15.75" thickTop="1">
      <c r="A14" s="8" t="s">
        <v>145</v>
      </c>
      <c r="B14" s="9" t="s">
        <v>149</v>
      </c>
      <c r="C14" s="10"/>
      <c r="D14" s="10"/>
      <c r="E14" s="8"/>
      <c r="F14" s="10"/>
    </row>
    <row r="15" spans="1:6">
      <c r="A15" s="17">
        <v>0.607951388888889</v>
      </c>
      <c r="B15" s="3">
        <f>HOUR(A15)</f>
        <v>14</v>
      </c>
      <c r="C15" s="13"/>
      <c r="D15" s="5"/>
      <c r="E15" s="4" t="s">
        <v>146</v>
      </c>
      <c r="F15" s="3" t="s">
        <v>147</v>
      </c>
    </row>
    <row r="16" spans="1:6">
      <c r="A16" s="13"/>
      <c r="C16" s="13"/>
      <c r="D16" s="5"/>
      <c r="E16" s="4"/>
    </row>
    <row r="17" spans="1:6">
      <c r="A17" s="8" t="s">
        <v>148</v>
      </c>
      <c r="B17" s="9" t="s">
        <v>150</v>
      </c>
      <c r="C17" s="10"/>
      <c r="D17" s="18"/>
      <c r="E17" s="8"/>
      <c r="F17" s="10"/>
    </row>
    <row r="18" spans="1:6">
      <c r="A18" s="17">
        <v>0.607951388888889</v>
      </c>
      <c r="B18" s="3">
        <f>MINUTE(A18)</f>
        <v>35</v>
      </c>
      <c r="C18" s="13"/>
      <c r="D18" s="5"/>
      <c r="E18" s="19" t="s">
        <v>151</v>
      </c>
      <c r="F18" s="3" t="s">
        <v>152</v>
      </c>
    </row>
    <row r="19" spans="1:6">
      <c r="A19" s="13"/>
      <c r="C19" s="13"/>
      <c r="D19" s="5"/>
      <c r="E19" s="4"/>
    </row>
    <row r="20" spans="1:6">
      <c r="A20" s="20" t="s">
        <v>154</v>
      </c>
      <c r="B20" s="9" t="s">
        <v>155</v>
      </c>
      <c r="C20" s="10"/>
      <c r="D20" s="10"/>
      <c r="E20" s="8"/>
      <c r="F20" s="10"/>
    </row>
    <row r="21" spans="1:6">
      <c r="A21" s="17">
        <v>0.607951388888889</v>
      </c>
      <c r="B21" s="21">
        <f>SECOND(A21)</f>
        <v>27</v>
      </c>
      <c r="D21" s="5"/>
      <c r="E21" s="4" t="s">
        <v>156</v>
      </c>
      <c r="F21" s="3" t="s">
        <v>153</v>
      </c>
    </row>
    <row r="22" spans="1:6">
      <c r="A22" s="22"/>
      <c r="B22" s="22"/>
      <c r="C22" s="23"/>
      <c r="D22" s="24"/>
      <c r="E22" s="25"/>
      <c r="F22" s="26"/>
    </row>
    <row r="23" spans="1:6">
      <c r="A23" s="20" t="s">
        <v>157</v>
      </c>
      <c r="B23" s="9" t="s">
        <v>171</v>
      </c>
      <c r="C23" s="10"/>
      <c r="D23" s="10"/>
      <c r="E23" s="8"/>
      <c r="F23" s="10"/>
    </row>
    <row r="24" spans="1:6">
      <c r="A24" s="21">
        <v>14</v>
      </c>
      <c r="B24" s="17">
        <f>TIME(A24,A25,A26)</f>
        <v>0.60795138888888889</v>
      </c>
      <c r="C24" s="21">
        <f>TIME(A24,A25,A26)</f>
        <v>0.60795138888888889</v>
      </c>
      <c r="D24" s="5" t="s">
        <v>158</v>
      </c>
      <c r="E24" s="4" t="s">
        <v>159</v>
      </c>
      <c r="F24" s="3" t="s">
        <v>320</v>
      </c>
    </row>
    <row r="25" spans="1:6">
      <c r="A25" s="21">
        <v>35</v>
      </c>
      <c r="C25" s="13"/>
      <c r="D25" s="5"/>
      <c r="E25" s="4"/>
    </row>
    <row r="26" spans="1:6">
      <c r="A26" s="21">
        <v>27</v>
      </c>
      <c r="C26" s="13"/>
      <c r="D26" s="5"/>
      <c r="E26" s="4"/>
    </row>
    <row r="28" spans="1:6">
      <c r="A28" s="20" t="s">
        <v>163</v>
      </c>
      <c r="B28" s="9" t="s">
        <v>160</v>
      </c>
      <c r="C28" s="10"/>
      <c r="D28" s="10"/>
      <c r="E28" s="8"/>
      <c r="F28" s="10"/>
    </row>
    <row r="29" spans="1:6">
      <c r="A29" s="4" t="s">
        <v>162</v>
      </c>
      <c r="B29" s="17">
        <f>TIMEVALUE(A29)</f>
        <v>0.60795138888888889</v>
      </c>
      <c r="E29" s="4" t="s">
        <v>172</v>
      </c>
      <c r="F29" s="3" t="s">
        <v>161</v>
      </c>
    </row>
    <row r="31" spans="1:6">
      <c r="A31" s="20" t="s">
        <v>164</v>
      </c>
      <c r="B31" s="9" t="s">
        <v>167</v>
      </c>
      <c r="C31" s="10"/>
      <c r="D31" s="10"/>
      <c r="E31" s="8"/>
      <c r="F31" s="10"/>
    </row>
    <row r="32" spans="1:6">
      <c r="A32" s="27">
        <f ca="1">NOW()</f>
        <v>40261.881381481478</v>
      </c>
      <c r="B32" s="21">
        <f ca="1">NOW()</f>
        <v>40261.881381481478</v>
      </c>
      <c r="D32" s="665" t="s">
        <v>168</v>
      </c>
      <c r="E32" s="4" t="s">
        <v>173</v>
      </c>
      <c r="F32" s="3" t="s">
        <v>165</v>
      </c>
    </row>
    <row r="33" spans="1:6">
      <c r="A33" s="3" t="s">
        <v>169</v>
      </c>
      <c r="B33" s="3" t="s">
        <v>170</v>
      </c>
      <c r="D33" s="665"/>
      <c r="F33" s="3" t="s">
        <v>166</v>
      </c>
    </row>
  </sheetData>
  <mergeCells count="1">
    <mergeCell ref="D32:D33"/>
  </mergeCells>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91.xml><?xml version="1.0" encoding="utf-8"?>
<worksheet xmlns="http://schemas.openxmlformats.org/spreadsheetml/2006/main" xmlns:r="http://schemas.openxmlformats.org/officeDocument/2006/relationships">
  <sheetPr>
    <pageSetUpPr fitToPage="1"/>
  </sheetPr>
  <dimension ref="A1:K44"/>
  <sheetViews>
    <sheetView showGridLines="0" topLeftCell="A7" zoomScale="98" zoomScaleNormal="98" workbookViewId="0">
      <selection activeCell="F4" sqref="F4"/>
    </sheetView>
  </sheetViews>
  <sheetFormatPr defaultRowHeight="15"/>
  <cols>
    <col min="1" max="1" width="13.5703125" style="3" customWidth="1"/>
    <col min="2" max="2" width="38.140625" style="3" bestFit="1" customWidth="1"/>
    <col min="3" max="3" width="30.140625" style="3" bestFit="1" customWidth="1"/>
    <col min="4" max="4" width="13.7109375" style="3" bestFit="1" customWidth="1"/>
    <col min="5" max="5" width="4.140625" style="3" customWidth="1"/>
    <col min="6" max="6" width="12.28515625" style="3" bestFit="1" customWidth="1"/>
    <col min="7" max="7" width="7.28515625" style="3" customWidth="1"/>
    <col min="8" max="8" width="11.7109375" style="3" bestFit="1" customWidth="1"/>
    <col min="9" max="10" width="9.140625" style="3"/>
    <col min="11" max="11" width="11.28515625" style="3" customWidth="1"/>
    <col min="12" max="16384" width="9.140625" style="3"/>
  </cols>
  <sheetData>
    <row r="1" spans="1:11" ht="22.5">
      <c r="A1" s="2" t="s">
        <v>174</v>
      </c>
      <c r="E1" s="637" t="s">
        <v>2056</v>
      </c>
    </row>
    <row r="3" spans="1:11" ht="18" thickBot="1">
      <c r="A3" s="68" t="s">
        <v>317</v>
      </c>
      <c r="B3" s="23"/>
      <c r="C3" s="23"/>
      <c r="F3" s="55" t="s">
        <v>263</v>
      </c>
      <c r="G3" s="55" t="s">
        <v>264</v>
      </c>
      <c r="H3" s="55" t="s">
        <v>265</v>
      </c>
      <c r="I3" s="55" t="s">
        <v>266</v>
      </c>
      <c r="J3" s="55" t="s">
        <v>267</v>
      </c>
      <c r="K3" s="55" t="s">
        <v>268</v>
      </c>
    </row>
    <row r="4" spans="1:11" ht="15.75" thickBot="1">
      <c r="A4" s="38" t="s">
        <v>70</v>
      </c>
      <c r="B4" s="38" t="s">
        <v>281</v>
      </c>
      <c r="C4" s="38" t="s">
        <v>282</v>
      </c>
      <c r="D4" s="38" t="s">
        <v>283</v>
      </c>
      <c r="F4" s="3">
        <v>11164539</v>
      </c>
      <c r="G4" s="57" t="s">
        <v>269</v>
      </c>
      <c r="H4" s="3" t="s">
        <v>270</v>
      </c>
      <c r="I4" s="58">
        <v>55.3</v>
      </c>
      <c r="J4" s="3">
        <v>15</v>
      </c>
      <c r="K4" s="58">
        <f t="shared" ref="K4:K43" si="0">J4*I4</f>
        <v>829.5</v>
      </c>
    </row>
    <row r="5" spans="1:11">
      <c r="A5" s="41" t="s">
        <v>252</v>
      </c>
      <c r="B5" s="41" t="s">
        <v>280</v>
      </c>
      <c r="C5" s="42" t="s">
        <v>308</v>
      </c>
      <c r="D5" s="43">
        <f>AVERAGE(I4:I43)</f>
        <v>32.597750000000005</v>
      </c>
      <c r="F5" s="3">
        <v>11164540</v>
      </c>
      <c r="G5" s="57" t="s">
        <v>271</v>
      </c>
      <c r="H5" s="3" t="s">
        <v>272</v>
      </c>
      <c r="I5" s="58">
        <v>69.58</v>
      </c>
      <c r="J5" s="3">
        <v>7</v>
      </c>
      <c r="K5" s="58">
        <f t="shared" si="0"/>
        <v>487.06</v>
      </c>
    </row>
    <row r="6" spans="1:11">
      <c r="A6" s="44" t="s">
        <v>279</v>
      </c>
      <c r="C6" s="23"/>
      <c r="F6" s="3">
        <v>11164541</v>
      </c>
      <c r="G6" s="57" t="s">
        <v>273</v>
      </c>
      <c r="H6" s="3" t="s">
        <v>274</v>
      </c>
      <c r="I6" s="58">
        <v>47.87</v>
      </c>
      <c r="J6" s="3">
        <v>1</v>
      </c>
      <c r="K6" s="58">
        <f t="shared" si="0"/>
        <v>47.87</v>
      </c>
    </row>
    <row r="7" spans="1:11">
      <c r="A7" s="41" t="s">
        <v>253</v>
      </c>
      <c r="B7" s="41" t="s">
        <v>285</v>
      </c>
      <c r="C7" s="45" t="s">
        <v>309</v>
      </c>
      <c r="D7" s="46">
        <f>MAX(J4:J43)</f>
        <v>19</v>
      </c>
      <c r="F7" s="3">
        <v>11164542</v>
      </c>
      <c r="G7" s="57" t="s">
        <v>269</v>
      </c>
      <c r="H7" s="3" t="s">
        <v>270</v>
      </c>
      <c r="I7" s="58">
        <v>16.22</v>
      </c>
      <c r="J7" s="3">
        <v>5</v>
      </c>
      <c r="K7" s="58">
        <f t="shared" si="0"/>
        <v>81.099999999999994</v>
      </c>
    </row>
    <row r="8" spans="1:11">
      <c r="A8" s="47" t="s">
        <v>284</v>
      </c>
      <c r="B8" s="23"/>
      <c r="C8" s="23"/>
      <c r="D8" s="48"/>
      <c r="F8" s="3">
        <v>11164544</v>
      </c>
      <c r="G8" s="57" t="s">
        <v>271</v>
      </c>
      <c r="H8" s="3" t="s">
        <v>272</v>
      </c>
      <c r="I8" s="58">
        <v>54.36</v>
      </c>
      <c r="K8" s="58">
        <f t="shared" si="0"/>
        <v>0</v>
      </c>
    </row>
    <row r="9" spans="1:11">
      <c r="A9" s="41" t="s">
        <v>254</v>
      </c>
      <c r="B9" s="41" t="s">
        <v>287</v>
      </c>
      <c r="C9" s="45" t="s">
        <v>318</v>
      </c>
      <c r="D9" s="69">
        <f>MIN(I4:I43)</f>
        <v>0.84</v>
      </c>
      <c r="F9" s="3">
        <v>11164545</v>
      </c>
      <c r="G9" s="57" t="s">
        <v>275</v>
      </c>
      <c r="H9" s="3" t="s">
        <v>272</v>
      </c>
      <c r="I9" s="58">
        <v>74.45</v>
      </c>
      <c r="J9" s="3">
        <v>13</v>
      </c>
      <c r="K9" s="58">
        <f t="shared" si="0"/>
        <v>967.85</v>
      </c>
    </row>
    <row r="10" spans="1:11">
      <c r="A10" s="44" t="s">
        <v>286</v>
      </c>
      <c r="C10" s="23"/>
      <c r="D10" s="48"/>
      <c r="F10" s="3">
        <v>11164546</v>
      </c>
      <c r="G10" s="57" t="s">
        <v>275</v>
      </c>
      <c r="H10" s="3" t="s">
        <v>270</v>
      </c>
      <c r="I10" s="58">
        <v>52.03</v>
      </c>
      <c r="J10" s="3">
        <v>11</v>
      </c>
      <c r="K10" s="58">
        <f t="shared" si="0"/>
        <v>572.33000000000004</v>
      </c>
    </row>
    <row r="11" spans="1:11">
      <c r="A11" s="41" t="s">
        <v>255</v>
      </c>
      <c r="B11" s="10" t="s">
        <v>289</v>
      </c>
      <c r="C11" s="45" t="s">
        <v>310</v>
      </c>
      <c r="D11" s="46">
        <f>COUNT(J4:J43)</f>
        <v>38</v>
      </c>
      <c r="F11" s="3">
        <v>11164547</v>
      </c>
      <c r="G11" s="57" t="s">
        <v>275</v>
      </c>
      <c r="H11" s="3" t="s">
        <v>274</v>
      </c>
      <c r="I11" s="58">
        <v>25.74</v>
      </c>
      <c r="J11" s="3">
        <v>8</v>
      </c>
      <c r="K11" s="58">
        <f t="shared" si="0"/>
        <v>205.92</v>
      </c>
    </row>
    <row r="12" spans="1:11">
      <c r="A12" s="47" t="s">
        <v>288</v>
      </c>
      <c r="C12" s="23"/>
      <c r="D12" s="48"/>
      <c r="F12" s="3">
        <v>11164548</v>
      </c>
      <c r="G12" s="57" t="s">
        <v>276</v>
      </c>
      <c r="H12" s="3" t="s">
        <v>272</v>
      </c>
      <c r="I12" s="58">
        <v>39.119999999999997</v>
      </c>
      <c r="J12" s="3">
        <v>14</v>
      </c>
      <c r="K12" s="58">
        <f t="shared" si="0"/>
        <v>547.67999999999995</v>
      </c>
    </row>
    <row r="13" spans="1:11">
      <c r="A13" s="41" t="s">
        <v>256</v>
      </c>
      <c r="B13" s="10" t="s">
        <v>291</v>
      </c>
      <c r="C13" s="45" t="s">
        <v>311</v>
      </c>
      <c r="D13" s="46">
        <f>COUNTA(G4:G43)</f>
        <v>40</v>
      </c>
      <c r="F13" s="3">
        <v>11164549</v>
      </c>
      <c r="G13" s="57" t="s">
        <v>275</v>
      </c>
      <c r="H13" s="3" t="s">
        <v>274</v>
      </c>
      <c r="I13" s="58">
        <v>10.97</v>
      </c>
      <c r="J13" s="3">
        <v>3</v>
      </c>
      <c r="K13" s="58">
        <f t="shared" si="0"/>
        <v>32.910000000000004</v>
      </c>
    </row>
    <row r="14" spans="1:11">
      <c r="A14" s="44" t="s">
        <v>290</v>
      </c>
      <c r="B14" s="23"/>
      <c r="C14" s="23"/>
      <c r="F14" s="3">
        <v>11164550</v>
      </c>
      <c r="G14" s="57" t="s">
        <v>276</v>
      </c>
      <c r="H14" s="3" t="s">
        <v>277</v>
      </c>
      <c r="I14" s="58">
        <v>18.559999999999999</v>
      </c>
      <c r="J14" s="3">
        <v>12</v>
      </c>
      <c r="K14" s="58">
        <f t="shared" si="0"/>
        <v>222.71999999999997</v>
      </c>
    </row>
    <row r="15" spans="1:11">
      <c r="A15" s="41" t="s">
        <v>250</v>
      </c>
      <c r="B15" s="41" t="s">
        <v>296</v>
      </c>
      <c r="C15" s="70" t="s">
        <v>312</v>
      </c>
      <c r="D15" s="43">
        <f ca="1">SUMIF(H4:K43,"Dept 1",K4:K43)</f>
        <v>1092.3</v>
      </c>
      <c r="F15" s="3">
        <v>11164551</v>
      </c>
      <c r="G15" s="57" t="s">
        <v>269</v>
      </c>
      <c r="H15" s="3" t="s">
        <v>270</v>
      </c>
      <c r="I15" s="58">
        <v>45.8</v>
      </c>
      <c r="J15" s="3">
        <v>17</v>
      </c>
      <c r="K15" s="58">
        <f t="shared" si="0"/>
        <v>778.59999999999991</v>
      </c>
    </row>
    <row r="16" spans="1:11">
      <c r="A16" s="47" t="s">
        <v>293</v>
      </c>
      <c r="B16" s="23"/>
      <c r="C16" s="23"/>
      <c r="F16" s="3">
        <v>11164556</v>
      </c>
      <c r="G16" s="57" t="s">
        <v>275</v>
      </c>
      <c r="H16" s="3" t="s">
        <v>274</v>
      </c>
      <c r="I16" s="58">
        <v>88.39</v>
      </c>
      <c r="J16" s="3">
        <v>2</v>
      </c>
      <c r="K16" s="58">
        <f t="shared" si="0"/>
        <v>176.78</v>
      </c>
    </row>
    <row r="17" spans="1:11">
      <c r="A17" s="41" t="s">
        <v>249</v>
      </c>
      <c r="B17" s="41" t="s">
        <v>295</v>
      </c>
      <c r="C17" s="70" t="s">
        <v>313</v>
      </c>
      <c r="D17" s="71">
        <f>COUNTIF(G4:G43,"RT")</f>
        <v>10</v>
      </c>
      <c r="F17" s="3">
        <v>11164557</v>
      </c>
      <c r="G17" s="57" t="s">
        <v>273</v>
      </c>
      <c r="H17" s="3" t="s">
        <v>270</v>
      </c>
      <c r="I17" s="58">
        <v>79.08</v>
      </c>
      <c r="J17" s="3">
        <v>12</v>
      </c>
      <c r="K17" s="58">
        <f t="shared" si="0"/>
        <v>948.96</v>
      </c>
    </row>
    <row r="18" spans="1:11">
      <c r="A18" s="47" t="s">
        <v>292</v>
      </c>
      <c r="B18" s="23"/>
      <c r="C18" s="23"/>
      <c r="F18" s="3">
        <v>11164558</v>
      </c>
      <c r="G18" s="57" t="s">
        <v>275</v>
      </c>
      <c r="H18" s="3" t="s">
        <v>277</v>
      </c>
      <c r="I18" s="58">
        <v>15.28</v>
      </c>
      <c r="J18" s="3">
        <v>7</v>
      </c>
      <c r="K18" s="58">
        <f t="shared" si="0"/>
        <v>106.96</v>
      </c>
    </row>
    <row r="19" spans="1:11">
      <c r="A19" s="41" t="s">
        <v>251</v>
      </c>
      <c r="B19" s="49" t="s">
        <v>319</v>
      </c>
      <c r="C19" s="70" t="s">
        <v>314</v>
      </c>
      <c r="D19" s="72">
        <f ca="1">AVERAGEIF(G4:K43,"RT",I4:I43)</f>
        <v>33.126999999999995</v>
      </c>
      <c r="F19" s="3">
        <v>11164559</v>
      </c>
      <c r="G19" s="57" t="s">
        <v>271</v>
      </c>
      <c r="H19" s="3" t="s">
        <v>277</v>
      </c>
      <c r="I19" s="58">
        <v>2.77</v>
      </c>
      <c r="J19" s="3">
        <v>15</v>
      </c>
      <c r="K19" s="58">
        <f t="shared" si="0"/>
        <v>41.55</v>
      </c>
    </row>
    <row r="20" spans="1:11">
      <c r="A20" s="44" t="s">
        <v>294</v>
      </c>
      <c r="B20" s="23"/>
      <c r="C20" s="23"/>
      <c r="F20" s="3">
        <v>11164560</v>
      </c>
      <c r="G20" s="57" t="s">
        <v>269</v>
      </c>
      <c r="H20" s="3" t="s">
        <v>272</v>
      </c>
      <c r="I20" s="58">
        <v>40.96</v>
      </c>
      <c r="K20" s="58">
        <f t="shared" si="0"/>
        <v>0</v>
      </c>
    </row>
    <row r="21" spans="1:11">
      <c r="B21" s="23"/>
      <c r="C21" s="23"/>
      <c r="F21" s="3">
        <v>11164561</v>
      </c>
      <c r="G21" s="57" t="s">
        <v>269</v>
      </c>
      <c r="H21" s="3" t="s">
        <v>278</v>
      </c>
      <c r="I21" s="58">
        <v>25.07</v>
      </c>
      <c r="J21" s="3">
        <v>12</v>
      </c>
      <c r="K21" s="58">
        <f t="shared" si="0"/>
        <v>300.84000000000003</v>
      </c>
    </row>
    <row r="22" spans="1:11" ht="17.25">
      <c r="A22" s="68" t="s">
        <v>257</v>
      </c>
      <c r="B22" s="23"/>
      <c r="C22" s="23"/>
      <c r="F22" s="3">
        <v>11164562</v>
      </c>
      <c r="G22" s="57" t="s">
        <v>275</v>
      </c>
      <c r="H22" s="3" t="s">
        <v>270</v>
      </c>
      <c r="I22" s="58">
        <v>0.84</v>
      </c>
      <c r="J22" s="3">
        <v>12</v>
      </c>
      <c r="K22" s="58">
        <f t="shared" si="0"/>
        <v>10.08</v>
      </c>
    </row>
    <row r="23" spans="1:11">
      <c r="A23" s="3" t="s">
        <v>299</v>
      </c>
      <c r="C23" s="3" t="s">
        <v>356</v>
      </c>
      <c r="F23" s="3">
        <v>11164563</v>
      </c>
      <c r="G23" s="57" t="s">
        <v>275</v>
      </c>
      <c r="H23" s="3" t="s">
        <v>277</v>
      </c>
      <c r="I23" s="58">
        <v>9.42</v>
      </c>
      <c r="J23" s="3">
        <v>3</v>
      </c>
      <c r="K23" s="58">
        <f t="shared" si="0"/>
        <v>28.259999999999998</v>
      </c>
    </row>
    <row r="24" spans="1:11" ht="15.75" thickBot="1">
      <c r="A24" s="38" t="s">
        <v>70</v>
      </c>
      <c r="B24" s="38" t="s">
        <v>281</v>
      </c>
      <c r="C24" s="38" t="s">
        <v>282</v>
      </c>
      <c r="D24" s="38" t="s">
        <v>283</v>
      </c>
      <c r="F24" s="3">
        <v>11164564</v>
      </c>
      <c r="G24" s="57" t="s">
        <v>271</v>
      </c>
      <c r="H24" s="3" t="s">
        <v>272</v>
      </c>
      <c r="I24" s="58">
        <v>16.02</v>
      </c>
      <c r="J24" s="3">
        <v>7</v>
      </c>
      <c r="K24" s="58">
        <f t="shared" si="0"/>
        <v>112.14</v>
      </c>
    </row>
    <row r="25" spans="1:11">
      <c r="A25" s="41" t="s">
        <v>261</v>
      </c>
      <c r="B25" s="73" t="s">
        <v>304</v>
      </c>
      <c r="C25" s="70" t="s">
        <v>357</v>
      </c>
      <c r="D25" s="71">
        <f>FIND(",",A23)</f>
        <v>28</v>
      </c>
      <c r="F25" s="3">
        <v>11164565</v>
      </c>
      <c r="G25" s="57" t="s">
        <v>269</v>
      </c>
      <c r="H25" s="3" t="s">
        <v>270</v>
      </c>
      <c r="I25" s="58">
        <v>77.83</v>
      </c>
      <c r="J25" s="3">
        <v>4</v>
      </c>
      <c r="K25" s="58">
        <f t="shared" si="0"/>
        <v>311.32</v>
      </c>
    </row>
    <row r="26" spans="1:11">
      <c r="A26" s="47" t="s">
        <v>297</v>
      </c>
      <c r="F26" s="3">
        <v>11164567</v>
      </c>
      <c r="G26" s="57" t="s">
        <v>273</v>
      </c>
      <c r="H26" s="3" t="s">
        <v>278</v>
      </c>
      <c r="I26" s="58">
        <v>1.54</v>
      </c>
      <c r="J26" s="3">
        <v>15</v>
      </c>
      <c r="K26" s="58">
        <f t="shared" si="0"/>
        <v>23.1</v>
      </c>
    </row>
    <row r="27" spans="1:11">
      <c r="A27" s="41" t="s">
        <v>258</v>
      </c>
      <c r="B27" s="73" t="s">
        <v>303</v>
      </c>
      <c r="C27" s="74" t="s">
        <v>358</v>
      </c>
      <c r="D27" s="10" t="str">
        <f>LEFT(A23,9)</f>
        <v>President</v>
      </c>
      <c r="F27" s="3">
        <v>11164568</v>
      </c>
      <c r="G27" s="57" t="s">
        <v>271</v>
      </c>
      <c r="H27" s="3" t="s">
        <v>277</v>
      </c>
      <c r="I27" s="58">
        <v>9.81</v>
      </c>
      <c r="J27" s="3">
        <v>1</v>
      </c>
      <c r="K27" s="58">
        <f t="shared" si="0"/>
        <v>9.81</v>
      </c>
    </row>
    <row r="28" spans="1:11">
      <c r="A28" s="47" t="s">
        <v>298</v>
      </c>
      <c r="F28" s="3">
        <v>11164569</v>
      </c>
      <c r="G28" s="57" t="s">
        <v>275</v>
      </c>
      <c r="H28" s="3" t="s">
        <v>278</v>
      </c>
      <c r="I28" s="58">
        <v>1.77</v>
      </c>
      <c r="J28" s="3">
        <v>8</v>
      </c>
      <c r="K28" s="58">
        <f t="shared" si="0"/>
        <v>14.16</v>
      </c>
    </row>
    <row r="29" spans="1:11">
      <c r="A29" s="41" t="s">
        <v>262</v>
      </c>
      <c r="B29" s="10" t="s">
        <v>301</v>
      </c>
      <c r="C29" s="74" t="s">
        <v>359</v>
      </c>
      <c r="D29" s="71">
        <f>LEN(A23)</f>
        <v>53</v>
      </c>
      <c r="F29" s="3">
        <v>11164570</v>
      </c>
      <c r="G29" s="57" t="s">
        <v>276</v>
      </c>
      <c r="H29" s="3" t="s">
        <v>278</v>
      </c>
      <c r="I29" s="58">
        <v>7.99</v>
      </c>
      <c r="J29" s="3">
        <v>13</v>
      </c>
      <c r="K29" s="58">
        <f t="shared" si="0"/>
        <v>103.87</v>
      </c>
    </row>
    <row r="30" spans="1:11">
      <c r="A30" s="47" t="s">
        <v>300</v>
      </c>
      <c r="F30" s="3">
        <v>11164571</v>
      </c>
      <c r="G30" s="57" t="s">
        <v>275</v>
      </c>
      <c r="H30" s="3" t="s">
        <v>272</v>
      </c>
      <c r="I30" s="58">
        <v>23.54</v>
      </c>
      <c r="J30" s="3">
        <v>10</v>
      </c>
      <c r="K30" s="58">
        <f t="shared" si="0"/>
        <v>235.39999999999998</v>
      </c>
    </row>
    <row r="31" spans="1:11">
      <c r="A31" s="41" t="s">
        <v>259</v>
      </c>
      <c r="B31" s="10" t="s">
        <v>302</v>
      </c>
      <c r="C31" s="74" t="s">
        <v>360</v>
      </c>
      <c r="D31" s="10" t="str">
        <f>MID(A23,18,10)</f>
        <v>Washington</v>
      </c>
      <c r="F31" s="3">
        <v>11164572</v>
      </c>
      <c r="G31" s="57" t="s">
        <v>273</v>
      </c>
      <c r="H31" s="3" t="s">
        <v>274</v>
      </c>
      <c r="I31" s="58">
        <v>71.099999999999994</v>
      </c>
      <c r="J31" s="3">
        <v>4</v>
      </c>
      <c r="K31" s="58">
        <f t="shared" si="0"/>
        <v>284.39999999999998</v>
      </c>
    </row>
    <row r="32" spans="1:11">
      <c r="A32" s="47" t="s">
        <v>305</v>
      </c>
      <c r="F32" s="3">
        <v>11164574</v>
      </c>
      <c r="G32" s="57" t="s">
        <v>269</v>
      </c>
      <c r="H32" s="3" t="s">
        <v>277</v>
      </c>
      <c r="I32" s="58">
        <v>64.64</v>
      </c>
      <c r="J32" s="3">
        <v>5</v>
      </c>
      <c r="K32" s="58">
        <f t="shared" si="0"/>
        <v>323.2</v>
      </c>
    </row>
    <row r="33" spans="1:11">
      <c r="A33" s="41" t="s">
        <v>260</v>
      </c>
      <c r="B33" s="10" t="s">
        <v>307</v>
      </c>
      <c r="C33" s="74" t="s">
        <v>361</v>
      </c>
      <c r="D33" s="10" t="str">
        <f>RIGHT(A23,7)</f>
        <v>America</v>
      </c>
      <c r="F33" s="3">
        <v>11164575</v>
      </c>
      <c r="G33" s="57" t="s">
        <v>273</v>
      </c>
      <c r="H33" s="3" t="s">
        <v>272</v>
      </c>
      <c r="I33" s="58">
        <v>50.87</v>
      </c>
      <c r="J33" s="3">
        <v>19</v>
      </c>
      <c r="K33" s="58">
        <f t="shared" si="0"/>
        <v>966.53</v>
      </c>
    </row>
    <row r="34" spans="1:11">
      <c r="A34" s="47" t="s">
        <v>306</v>
      </c>
      <c r="F34" s="3">
        <v>11164579</v>
      </c>
      <c r="G34" s="57" t="s">
        <v>271</v>
      </c>
      <c r="H34" s="3" t="s">
        <v>274</v>
      </c>
      <c r="I34" s="58">
        <v>27.6</v>
      </c>
      <c r="J34" s="3">
        <v>3</v>
      </c>
      <c r="K34" s="58">
        <f t="shared" si="0"/>
        <v>82.800000000000011</v>
      </c>
    </row>
    <row r="35" spans="1:11">
      <c r="F35" s="3">
        <v>11164580</v>
      </c>
      <c r="G35" s="57" t="s">
        <v>275</v>
      </c>
      <c r="H35" s="3" t="s">
        <v>274</v>
      </c>
      <c r="I35" s="58">
        <v>46.85</v>
      </c>
      <c r="J35" s="3">
        <v>9</v>
      </c>
      <c r="K35" s="58">
        <f t="shared" si="0"/>
        <v>421.65000000000003</v>
      </c>
    </row>
    <row r="36" spans="1:11">
      <c r="A36" s="75" t="s">
        <v>362</v>
      </c>
      <c r="F36" s="3">
        <v>11164581</v>
      </c>
      <c r="G36" s="57" t="s">
        <v>269</v>
      </c>
      <c r="H36" s="3" t="s">
        <v>274</v>
      </c>
      <c r="I36" s="58">
        <v>1.18</v>
      </c>
      <c r="J36" s="3">
        <v>16</v>
      </c>
      <c r="K36" s="58">
        <f t="shared" si="0"/>
        <v>18.88</v>
      </c>
    </row>
    <row r="37" spans="1:11" ht="15.75" thickBot="1">
      <c r="A37" s="76" t="s">
        <v>363</v>
      </c>
      <c r="B37" s="76"/>
      <c r="C37" s="76" t="s">
        <v>364</v>
      </c>
      <c r="D37" s="76"/>
      <c r="F37" s="3">
        <v>11164582</v>
      </c>
      <c r="G37" s="57" t="s">
        <v>273</v>
      </c>
      <c r="H37" s="3" t="s">
        <v>277</v>
      </c>
      <c r="I37" s="58">
        <v>35</v>
      </c>
      <c r="J37" s="3">
        <v>10</v>
      </c>
      <c r="K37" s="58">
        <f t="shared" si="0"/>
        <v>350</v>
      </c>
    </row>
    <row r="38" spans="1:11">
      <c r="A38" s="77" t="s">
        <v>299</v>
      </c>
      <c r="B38" s="77"/>
      <c r="C38" s="77" t="str">
        <f>RIGHT(A38,(LEN(A38)-FIND(",",A38)-1))</f>
        <v>United States of America</v>
      </c>
      <c r="D38" s="77"/>
      <c r="F38" s="3">
        <v>11164583</v>
      </c>
      <c r="G38" s="57" t="s">
        <v>275</v>
      </c>
      <c r="H38" s="3" t="s">
        <v>270</v>
      </c>
      <c r="I38" s="58">
        <v>12.13</v>
      </c>
      <c r="J38" s="3">
        <v>13</v>
      </c>
      <c r="K38" s="58">
        <f t="shared" si="0"/>
        <v>157.69</v>
      </c>
    </row>
    <row r="39" spans="1:11">
      <c r="A39" s="78" t="s">
        <v>316</v>
      </c>
      <c r="B39" s="78"/>
      <c r="C39" s="78" t="str">
        <f>RIGHT(A39,(LEN(A39)-FIND(",",A39)-1))</f>
        <v>Starfleet Command</v>
      </c>
      <c r="D39" s="60"/>
      <c r="F39" s="3">
        <v>11164584</v>
      </c>
      <c r="G39" s="57" t="s">
        <v>276</v>
      </c>
      <c r="H39" s="3" t="s">
        <v>274</v>
      </c>
      <c r="I39" s="58">
        <v>51.16</v>
      </c>
      <c r="J39" s="3">
        <v>5</v>
      </c>
      <c r="K39" s="58">
        <f t="shared" si="0"/>
        <v>255.79999999999998</v>
      </c>
    </row>
    <row r="40" spans="1:11" ht="15.75" thickBot="1">
      <c r="A40" s="79" t="s">
        <v>315</v>
      </c>
      <c r="B40" s="79"/>
      <c r="C40" s="79" t="str">
        <f>RIGHT(A40,(LEN(A40)-FIND(",",A40)-1))</f>
        <v>a poem as lovely as a tree.</v>
      </c>
      <c r="D40" s="79"/>
      <c r="F40" s="3">
        <v>11164585</v>
      </c>
      <c r="G40" s="57" t="s">
        <v>276</v>
      </c>
      <c r="H40" s="3" t="s">
        <v>278</v>
      </c>
      <c r="I40" s="58">
        <v>27.88</v>
      </c>
      <c r="J40" s="3">
        <v>2</v>
      </c>
      <c r="K40" s="58">
        <f t="shared" si="0"/>
        <v>55.76</v>
      </c>
    </row>
    <row r="41" spans="1:11">
      <c r="A41" s="80" t="s">
        <v>365</v>
      </c>
      <c r="B41" s="80"/>
      <c r="C41" s="80"/>
      <c r="D41" s="80"/>
      <c r="F41" s="3">
        <v>11164586</v>
      </c>
      <c r="G41" s="57" t="s">
        <v>269</v>
      </c>
      <c r="H41" s="3" t="s">
        <v>278</v>
      </c>
      <c r="I41" s="58">
        <v>2.31</v>
      </c>
      <c r="J41" s="3">
        <v>16</v>
      </c>
      <c r="K41" s="58">
        <f t="shared" si="0"/>
        <v>36.96</v>
      </c>
    </row>
    <row r="42" spans="1:11">
      <c r="A42" s="3" t="s">
        <v>366</v>
      </c>
      <c r="B42" s="81"/>
      <c r="C42" s="81"/>
      <c r="D42" s="81"/>
      <c r="F42" s="3">
        <v>11164587</v>
      </c>
      <c r="G42" s="57" t="s">
        <v>269</v>
      </c>
      <c r="H42" s="3" t="s">
        <v>277</v>
      </c>
      <c r="I42" s="58">
        <v>1.96</v>
      </c>
      <c r="J42" s="3">
        <v>5</v>
      </c>
      <c r="K42" s="58">
        <f t="shared" si="0"/>
        <v>9.8000000000000007</v>
      </c>
    </row>
    <row r="43" spans="1:11">
      <c r="A43" s="3" t="s">
        <v>367</v>
      </c>
      <c r="B43" s="81"/>
      <c r="C43" s="81"/>
      <c r="D43" s="81"/>
      <c r="F43" s="3">
        <v>11164591</v>
      </c>
      <c r="G43" s="57" t="s">
        <v>271</v>
      </c>
      <c r="H43" s="3" t="s">
        <v>278</v>
      </c>
      <c r="I43" s="58">
        <v>0.92</v>
      </c>
      <c r="J43" s="3">
        <v>4</v>
      </c>
      <c r="K43" s="58">
        <f t="shared" si="0"/>
        <v>3.68</v>
      </c>
    </row>
    <row r="44" spans="1:11">
      <c r="K44" s="82"/>
    </row>
  </sheetData>
  <phoneticPr fontId="0" type="noConversion"/>
  <printOptions horizontalCentered="1"/>
  <pageMargins left="0.5" right="0.5" top="0.75" bottom="0.75" header="0.3" footer="0.3"/>
  <pageSetup scale="79" orientation="landscape" r:id="rId1"/>
  <headerFooter>
    <oddFooter>&amp;LBoni Mays
Fayetteville Technical Community College&amp;C&amp;P&amp;Rwww.maysstuff.com</oddFooter>
  </headerFooter>
  <legacyDrawing r:id="rId2"/>
</worksheet>
</file>

<file path=xl/worksheets/sheet92.xml><?xml version="1.0" encoding="utf-8"?>
<worksheet xmlns="http://schemas.openxmlformats.org/spreadsheetml/2006/main" xmlns:r="http://schemas.openxmlformats.org/officeDocument/2006/relationships">
  <dimension ref="A1:I42"/>
  <sheetViews>
    <sheetView showGridLines="0" zoomScale="98" zoomScaleNormal="98" workbookViewId="0">
      <selection activeCell="F4" sqref="F4"/>
    </sheetView>
  </sheetViews>
  <sheetFormatPr defaultRowHeight="15"/>
  <cols>
    <col min="1" max="1" width="13.5703125" style="3" customWidth="1"/>
    <col min="2" max="6" width="11.7109375" style="3" customWidth="1"/>
    <col min="7" max="7" width="14.5703125" style="3" customWidth="1"/>
    <col min="8" max="8" width="49.85546875" style="3" customWidth="1"/>
    <col min="9" max="9" width="15" style="3" customWidth="1"/>
    <col min="10" max="10" width="9.140625" style="3"/>
    <col min="11" max="11" width="11.28515625" style="3" customWidth="1"/>
    <col min="12" max="16384" width="9.140625" style="3"/>
  </cols>
  <sheetData>
    <row r="1" spans="1:9" ht="22.5">
      <c r="A1" s="2" t="s">
        <v>374</v>
      </c>
      <c r="E1" s="637" t="s">
        <v>2056</v>
      </c>
    </row>
    <row r="2" spans="1:9">
      <c r="A2" s="3" t="s">
        <v>391</v>
      </c>
    </row>
    <row r="3" spans="1:9" ht="15.75" thickBot="1">
      <c r="A3" s="38" t="s">
        <v>70</v>
      </c>
      <c r="B3" s="38" t="s">
        <v>281</v>
      </c>
      <c r="C3" s="38"/>
      <c r="D3" s="38"/>
      <c r="E3" s="38"/>
      <c r="F3" s="38"/>
      <c r="G3" s="38"/>
      <c r="H3" s="38" t="s">
        <v>282</v>
      </c>
      <c r="I3" s="39" t="s">
        <v>283</v>
      </c>
    </row>
    <row r="4" spans="1:9">
      <c r="A4" s="40" t="s">
        <v>368</v>
      </c>
      <c r="B4" s="40" t="s">
        <v>393</v>
      </c>
      <c r="C4" s="41"/>
      <c r="D4" s="41"/>
      <c r="E4" s="41"/>
      <c r="F4" s="41"/>
      <c r="G4" s="41"/>
      <c r="H4" s="42" t="s">
        <v>386</v>
      </c>
      <c r="I4" s="43">
        <f>SUMIFS(F16:F55,B16:B55,"RT",C16:C55,"Dept 2")</f>
        <v>2000.5199999999998</v>
      </c>
    </row>
    <row r="5" spans="1:9">
      <c r="A5" s="44" t="s">
        <v>369</v>
      </c>
      <c r="H5" s="23"/>
    </row>
    <row r="6" spans="1:9">
      <c r="A6" s="40" t="s">
        <v>370</v>
      </c>
      <c r="B6" s="40" t="s">
        <v>392</v>
      </c>
      <c r="C6" s="41"/>
      <c r="D6" s="41"/>
      <c r="E6" s="41"/>
      <c r="F6" s="41"/>
      <c r="G6" s="41"/>
      <c r="H6" s="45" t="s">
        <v>387</v>
      </c>
      <c r="I6" s="46">
        <f>COUNTIFS(B16:B55,"RT",C16:C55,"Dept 2")</f>
        <v>4</v>
      </c>
    </row>
    <row r="7" spans="1:9">
      <c r="A7" s="47" t="s">
        <v>371</v>
      </c>
      <c r="B7" s="23"/>
      <c r="C7" s="23"/>
      <c r="D7" s="23"/>
      <c r="E7" s="23"/>
      <c r="F7" s="23"/>
      <c r="G7" s="23"/>
      <c r="H7" s="23"/>
      <c r="I7" s="48"/>
    </row>
    <row r="8" spans="1:9">
      <c r="A8" s="41" t="s">
        <v>251</v>
      </c>
      <c r="B8" s="49" t="s">
        <v>319</v>
      </c>
      <c r="C8" s="49"/>
      <c r="D8" s="49"/>
      <c r="E8" s="49"/>
      <c r="F8" s="49"/>
      <c r="G8" s="49"/>
      <c r="H8" s="45" t="s">
        <v>388</v>
      </c>
      <c r="I8" s="50">
        <f ca="1">AVERAGEIF(B16:F55,"RT",D16:D55)</f>
        <v>43.53</v>
      </c>
    </row>
    <row r="9" spans="1:9">
      <c r="A9" s="44" t="s">
        <v>294</v>
      </c>
      <c r="B9" s="23"/>
      <c r="C9" s="23"/>
      <c r="D9" s="23"/>
      <c r="E9" s="23"/>
      <c r="F9" s="23"/>
      <c r="G9" s="23"/>
      <c r="H9" s="23"/>
    </row>
    <row r="10" spans="1:9">
      <c r="A10" s="40" t="s">
        <v>372</v>
      </c>
      <c r="B10" s="8" t="s">
        <v>394</v>
      </c>
      <c r="C10" s="10"/>
      <c r="D10" s="10"/>
      <c r="E10" s="10"/>
      <c r="F10" s="10"/>
      <c r="G10" s="10"/>
      <c r="H10" s="45" t="s">
        <v>389</v>
      </c>
      <c r="I10" s="51">
        <f>AVERAGEIFS(F16:F55,B16:B55,"RT",C16:C55,"Dept 2")</f>
        <v>500.12999999999994</v>
      </c>
    </row>
    <row r="11" spans="1:9">
      <c r="A11" s="47" t="s">
        <v>373</v>
      </c>
      <c r="H11" s="23"/>
      <c r="I11" s="48"/>
    </row>
    <row r="12" spans="1:9">
      <c r="A12" s="40" t="s">
        <v>375</v>
      </c>
      <c r="B12" s="8" t="s">
        <v>395</v>
      </c>
      <c r="C12" s="10"/>
      <c r="D12" s="10"/>
      <c r="E12" s="10"/>
      <c r="F12" s="10"/>
      <c r="G12" s="10"/>
      <c r="H12" s="45"/>
      <c r="I12" s="52" t="s">
        <v>390</v>
      </c>
    </row>
    <row r="13" spans="1:9">
      <c r="A13" s="47" t="s">
        <v>376</v>
      </c>
      <c r="H13" s="23"/>
      <c r="I13" s="48"/>
    </row>
    <row r="15" spans="1:9" ht="15.75" thickBot="1">
      <c r="A15" s="53" t="s">
        <v>263</v>
      </c>
      <c r="B15" s="54" t="s">
        <v>264</v>
      </c>
      <c r="C15" s="55" t="s">
        <v>265</v>
      </c>
      <c r="D15" s="53" t="s">
        <v>266</v>
      </c>
      <c r="E15" s="53" t="s">
        <v>267</v>
      </c>
      <c r="F15" s="53" t="s">
        <v>268</v>
      </c>
      <c r="H15" s="56" t="s">
        <v>382</v>
      </c>
      <c r="I15" s="56"/>
    </row>
    <row r="16" spans="1:9">
      <c r="A16" s="3">
        <v>11164539</v>
      </c>
      <c r="B16" s="57" t="s">
        <v>269</v>
      </c>
      <c r="C16" s="3" t="s">
        <v>270</v>
      </c>
      <c r="D16" s="58">
        <v>55.3</v>
      </c>
      <c r="E16" s="3">
        <v>15</v>
      </c>
      <c r="F16" s="58">
        <f t="shared" ref="F16:F42" si="0">E16*D16</f>
        <v>829.5</v>
      </c>
      <c r="H16" s="59" t="s">
        <v>377</v>
      </c>
      <c r="I16" s="3">
        <v>11164539</v>
      </c>
    </row>
    <row r="17" spans="1:9">
      <c r="A17" s="3">
        <v>11164540</v>
      </c>
      <c r="B17" s="57" t="s">
        <v>271</v>
      </c>
      <c r="C17" s="3" t="s">
        <v>272</v>
      </c>
      <c r="D17" s="58">
        <v>69.58</v>
      </c>
      <c r="E17" s="3">
        <v>7</v>
      </c>
      <c r="F17" s="58">
        <f t="shared" si="0"/>
        <v>487.06</v>
      </c>
    </row>
    <row r="18" spans="1:9">
      <c r="A18" s="3">
        <v>11164541</v>
      </c>
      <c r="B18" s="57" t="s">
        <v>273</v>
      </c>
      <c r="C18" s="3" t="s">
        <v>274</v>
      </c>
      <c r="D18" s="58">
        <v>47.87</v>
      </c>
      <c r="E18" s="3">
        <v>1</v>
      </c>
      <c r="F18" s="58">
        <f t="shared" si="0"/>
        <v>47.87</v>
      </c>
      <c r="H18" s="59" t="s">
        <v>378</v>
      </c>
      <c r="I18" s="59" t="str">
        <f>VLOOKUP(I16,A15:F42,2)</f>
        <v>RT</v>
      </c>
    </row>
    <row r="19" spans="1:9" s="60" customFormat="1">
      <c r="A19" s="60">
        <v>11164542</v>
      </c>
      <c r="B19" s="61" t="s">
        <v>269</v>
      </c>
      <c r="C19" s="60" t="s">
        <v>270</v>
      </c>
      <c r="D19" s="62">
        <v>16.22</v>
      </c>
      <c r="E19" s="60">
        <v>5</v>
      </c>
      <c r="F19" s="62">
        <f t="shared" si="0"/>
        <v>81.099999999999994</v>
      </c>
      <c r="H19" s="63" t="s">
        <v>379</v>
      </c>
      <c r="I19" s="63" t="str">
        <f>VLOOKUP(I16,A15:F42,3)</f>
        <v>Dept 2</v>
      </c>
    </row>
    <row r="20" spans="1:9" s="60" customFormat="1">
      <c r="A20" s="60">
        <v>11164544</v>
      </c>
      <c r="B20" s="61" t="s">
        <v>271</v>
      </c>
      <c r="C20" s="60" t="s">
        <v>272</v>
      </c>
      <c r="D20" s="62">
        <v>54.36</v>
      </c>
      <c r="F20" s="62">
        <f t="shared" si="0"/>
        <v>0</v>
      </c>
      <c r="H20" s="63" t="s">
        <v>380</v>
      </c>
      <c r="I20" s="64">
        <f>VLOOKUP(I16,A15:F42,4)</f>
        <v>55.3</v>
      </c>
    </row>
    <row r="21" spans="1:9" s="60" customFormat="1">
      <c r="A21" s="60">
        <v>11164545</v>
      </c>
      <c r="B21" s="61" t="s">
        <v>275</v>
      </c>
      <c r="C21" s="60" t="s">
        <v>272</v>
      </c>
      <c r="D21" s="62">
        <v>74.45</v>
      </c>
      <c r="E21" s="60">
        <v>13</v>
      </c>
      <c r="F21" s="62">
        <f t="shared" si="0"/>
        <v>967.85</v>
      </c>
      <c r="H21" s="63" t="s">
        <v>381</v>
      </c>
      <c r="I21" s="63">
        <f>VLOOKUP(I16,A15:F42,5)</f>
        <v>15</v>
      </c>
    </row>
    <row r="22" spans="1:9" s="60" customFormat="1">
      <c r="A22" s="60">
        <v>11164546</v>
      </c>
      <c r="B22" s="61" t="s">
        <v>275</v>
      </c>
      <c r="C22" s="60" t="s">
        <v>270</v>
      </c>
      <c r="D22" s="62">
        <v>52.03</v>
      </c>
      <c r="E22" s="60">
        <v>11</v>
      </c>
      <c r="F22" s="62">
        <f t="shared" si="0"/>
        <v>572.33000000000004</v>
      </c>
    </row>
    <row r="23" spans="1:9" s="60" customFormat="1" ht="15.75" thickBot="1">
      <c r="A23" s="60">
        <v>11164547</v>
      </c>
      <c r="B23" s="61" t="s">
        <v>275</v>
      </c>
      <c r="C23" s="60" t="s">
        <v>274</v>
      </c>
      <c r="D23" s="62">
        <v>25.74</v>
      </c>
      <c r="E23" s="60">
        <v>8</v>
      </c>
      <c r="F23" s="62">
        <f t="shared" si="0"/>
        <v>205.92</v>
      </c>
      <c r="H23" s="56" t="s">
        <v>383</v>
      </c>
      <c r="I23" s="56"/>
    </row>
    <row r="24" spans="1:9" s="60" customFormat="1">
      <c r="A24" s="60">
        <v>11164548</v>
      </c>
      <c r="B24" s="61" t="s">
        <v>276</v>
      </c>
      <c r="C24" s="60" t="s">
        <v>272</v>
      </c>
      <c r="D24" s="62">
        <v>39.119999999999997</v>
      </c>
      <c r="E24" s="60">
        <v>14</v>
      </c>
      <c r="F24" s="62">
        <f t="shared" si="0"/>
        <v>547.67999999999995</v>
      </c>
      <c r="H24" s="63" t="s">
        <v>377</v>
      </c>
      <c r="I24" s="60">
        <v>11160000</v>
      </c>
    </row>
    <row r="25" spans="1:9" s="60" customFormat="1">
      <c r="A25" s="60">
        <v>11164549</v>
      </c>
      <c r="B25" s="61" t="s">
        <v>275</v>
      </c>
      <c r="C25" s="60" t="s">
        <v>274</v>
      </c>
      <c r="D25" s="62">
        <v>10.97</v>
      </c>
      <c r="E25" s="60">
        <v>3</v>
      </c>
      <c r="F25" s="62">
        <f t="shared" si="0"/>
        <v>32.910000000000004</v>
      </c>
    </row>
    <row r="26" spans="1:9" s="60" customFormat="1">
      <c r="A26" s="60">
        <v>11164550</v>
      </c>
      <c r="B26" s="61" t="s">
        <v>276</v>
      </c>
      <c r="C26" s="60" t="s">
        <v>277</v>
      </c>
      <c r="D26" s="62">
        <v>18.559999999999999</v>
      </c>
      <c r="E26" s="60">
        <v>12</v>
      </c>
      <c r="F26" s="62">
        <f t="shared" si="0"/>
        <v>222.71999999999997</v>
      </c>
      <c r="H26" s="63" t="s">
        <v>378</v>
      </c>
      <c r="I26" s="63" t="e">
        <f>VLOOKUP(I24,A15:F42,2,0)</f>
        <v>#N/A</v>
      </c>
    </row>
    <row r="27" spans="1:9" s="60" customFormat="1">
      <c r="A27" s="60">
        <v>11164551</v>
      </c>
      <c r="B27" s="61" t="s">
        <v>269</v>
      </c>
      <c r="C27" s="60" t="s">
        <v>270</v>
      </c>
      <c r="D27" s="62">
        <v>45.8</v>
      </c>
      <c r="E27" s="60">
        <v>17</v>
      </c>
      <c r="F27" s="62">
        <f t="shared" si="0"/>
        <v>778.59999999999991</v>
      </c>
      <c r="H27" s="63" t="s">
        <v>379</v>
      </c>
      <c r="I27" s="63" t="e">
        <f>VLOOKUP(I24,A15:F42,3,0)</f>
        <v>#N/A</v>
      </c>
    </row>
    <row r="28" spans="1:9" s="60" customFormat="1">
      <c r="A28" s="60">
        <v>11164556</v>
      </c>
      <c r="B28" s="61" t="s">
        <v>275</v>
      </c>
      <c r="C28" s="60" t="s">
        <v>274</v>
      </c>
      <c r="D28" s="62">
        <v>88.39</v>
      </c>
      <c r="E28" s="60">
        <v>2</v>
      </c>
      <c r="F28" s="62">
        <f t="shared" si="0"/>
        <v>176.78</v>
      </c>
      <c r="H28" s="63" t="s">
        <v>380</v>
      </c>
      <c r="I28" s="64" t="e">
        <f>VLOOKUP(I24,A15:F42,4,0)</f>
        <v>#N/A</v>
      </c>
    </row>
    <row r="29" spans="1:9" s="60" customFormat="1">
      <c r="A29" s="60">
        <v>11164557</v>
      </c>
      <c r="B29" s="61" t="s">
        <v>273</v>
      </c>
      <c r="C29" s="60" t="s">
        <v>270</v>
      </c>
      <c r="D29" s="62">
        <v>79.08</v>
      </c>
      <c r="E29" s="60">
        <v>12</v>
      </c>
      <c r="F29" s="62">
        <f t="shared" si="0"/>
        <v>948.96</v>
      </c>
      <c r="H29" s="63" t="s">
        <v>381</v>
      </c>
      <c r="I29" s="63" t="e">
        <f>VLOOKUP(I24,A15:F42,5,0)</f>
        <v>#N/A</v>
      </c>
    </row>
    <row r="30" spans="1:9" s="60" customFormat="1">
      <c r="A30" s="60">
        <v>11164558</v>
      </c>
      <c r="B30" s="61" t="s">
        <v>275</v>
      </c>
      <c r="C30" s="60" t="s">
        <v>277</v>
      </c>
      <c r="D30" s="62">
        <v>15.28</v>
      </c>
      <c r="E30" s="60">
        <v>7</v>
      </c>
      <c r="F30" s="62">
        <f t="shared" si="0"/>
        <v>106.96</v>
      </c>
    </row>
    <row r="31" spans="1:9" s="60" customFormat="1">
      <c r="A31" s="60">
        <v>11164559</v>
      </c>
      <c r="B31" s="61" t="s">
        <v>271</v>
      </c>
      <c r="C31" s="60" t="s">
        <v>277</v>
      </c>
      <c r="D31" s="62">
        <v>2.77</v>
      </c>
      <c r="E31" s="60">
        <v>15</v>
      </c>
      <c r="F31" s="62">
        <f t="shared" si="0"/>
        <v>41.55</v>
      </c>
      <c r="H31" s="60" t="s">
        <v>405</v>
      </c>
    </row>
    <row r="32" spans="1:9" s="60" customFormat="1">
      <c r="A32" s="60">
        <v>11164560</v>
      </c>
      <c r="B32" s="61" t="s">
        <v>269</v>
      </c>
      <c r="C32" s="60" t="s">
        <v>272</v>
      </c>
      <c r="D32" s="62">
        <v>40.96</v>
      </c>
      <c r="F32" s="62">
        <f t="shared" si="0"/>
        <v>0</v>
      </c>
      <c r="H32" s="60" t="s">
        <v>406</v>
      </c>
    </row>
    <row r="33" spans="1:9" s="60" customFormat="1">
      <c r="A33" s="60">
        <v>11164561</v>
      </c>
      <c r="B33" s="61" t="s">
        <v>269</v>
      </c>
      <c r="C33" s="60" t="s">
        <v>278</v>
      </c>
      <c r="D33" s="62">
        <v>25.07</v>
      </c>
      <c r="E33" s="60">
        <v>12</v>
      </c>
      <c r="F33" s="62">
        <f t="shared" si="0"/>
        <v>300.84000000000003</v>
      </c>
    </row>
    <row r="34" spans="1:9" s="60" customFormat="1" ht="15.75" thickBot="1">
      <c r="A34" s="60">
        <v>11164562</v>
      </c>
      <c r="B34" s="61" t="s">
        <v>275</v>
      </c>
      <c r="C34" s="60" t="s">
        <v>270</v>
      </c>
      <c r="D34" s="62">
        <v>0.84</v>
      </c>
      <c r="E34" s="60">
        <v>12</v>
      </c>
      <c r="F34" s="62">
        <f t="shared" si="0"/>
        <v>10.08</v>
      </c>
      <c r="H34" s="56" t="s">
        <v>407</v>
      </c>
      <c r="I34" s="56"/>
    </row>
    <row r="35" spans="1:9" s="60" customFormat="1">
      <c r="A35" s="60">
        <v>11164563</v>
      </c>
      <c r="B35" s="61" t="s">
        <v>275</v>
      </c>
      <c r="C35" s="60" t="s">
        <v>277</v>
      </c>
      <c r="D35" s="62">
        <v>9.42</v>
      </c>
      <c r="E35" s="60">
        <v>3</v>
      </c>
      <c r="F35" s="62">
        <f t="shared" si="0"/>
        <v>28.259999999999998</v>
      </c>
      <c r="H35" s="65" t="s">
        <v>384</v>
      </c>
      <c r="I35" s="66"/>
    </row>
    <row r="36" spans="1:9" s="60" customFormat="1">
      <c r="A36" s="60">
        <v>11164564</v>
      </c>
      <c r="B36" s="61" t="s">
        <v>271</v>
      </c>
      <c r="C36" s="60" t="s">
        <v>272</v>
      </c>
      <c r="D36" s="62">
        <v>16.02</v>
      </c>
      <c r="E36" s="60">
        <v>7</v>
      </c>
      <c r="F36" s="62">
        <f t="shared" si="0"/>
        <v>112.14</v>
      </c>
      <c r="H36" s="65" t="s">
        <v>385</v>
      </c>
      <c r="I36" s="66"/>
    </row>
    <row r="37" spans="1:9" s="60" customFormat="1">
      <c r="A37" s="60">
        <v>11164565</v>
      </c>
      <c r="B37" s="61" t="s">
        <v>269</v>
      </c>
      <c r="C37" s="60" t="s">
        <v>270</v>
      </c>
      <c r="D37" s="62">
        <v>77.83</v>
      </c>
      <c r="E37" s="60">
        <v>4</v>
      </c>
      <c r="F37" s="62">
        <f t="shared" si="0"/>
        <v>311.32</v>
      </c>
      <c r="H37" s="63" t="s">
        <v>377</v>
      </c>
      <c r="I37" s="60">
        <v>11160000</v>
      </c>
    </row>
    <row r="38" spans="1:9" s="60" customFormat="1">
      <c r="A38" s="60">
        <v>11164567</v>
      </c>
      <c r="B38" s="61" t="s">
        <v>273</v>
      </c>
      <c r="C38" s="60" t="s">
        <v>278</v>
      </c>
      <c r="D38" s="62">
        <v>1.54</v>
      </c>
      <c r="E38" s="60">
        <v>15</v>
      </c>
      <c r="F38" s="62">
        <f t="shared" si="0"/>
        <v>23.1</v>
      </c>
    </row>
    <row r="39" spans="1:9">
      <c r="A39" s="3">
        <v>11164568</v>
      </c>
      <c r="B39" s="57" t="s">
        <v>271</v>
      </c>
      <c r="C39" s="3" t="s">
        <v>277</v>
      </c>
      <c r="D39" s="58">
        <v>9.81</v>
      </c>
      <c r="E39" s="3">
        <v>1</v>
      </c>
      <c r="F39" s="58">
        <f t="shared" si="0"/>
        <v>9.81</v>
      </c>
      <c r="H39" s="59" t="s">
        <v>378</v>
      </c>
      <c r="I39" s="59" t="str">
        <f>IFERROR(VLOOKUP(I37,A16:F42,2), "Invalid Part #")</f>
        <v>Invalid Part #</v>
      </c>
    </row>
    <row r="40" spans="1:9">
      <c r="A40" s="3">
        <v>11164569</v>
      </c>
      <c r="B40" s="57" t="s">
        <v>275</v>
      </c>
      <c r="C40" s="3" t="s">
        <v>278</v>
      </c>
      <c r="D40" s="58">
        <v>1.77</v>
      </c>
      <c r="E40" s="3">
        <v>8</v>
      </c>
      <c r="F40" s="58">
        <f t="shared" si="0"/>
        <v>14.16</v>
      </c>
      <c r="H40" s="59" t="s">
        <v>379</v>
      </c>
      <c r="I40" s="59" t="str">
        <f>IF(I39= "Invalid Part #","",VLOOKUP(I37,A16:F42,3))</f>
        <v/>
      </c>
    </row>
    <row r="41" spans="1:9">
      <c r="A41" s="3">
        <v>11164570</v>
      </c>
      <c r="B41" s="57" t="s">
        <v>276</v>
      </c>
      <c r="C41" s="3" t="s">
        <v>278</v>
      </c>
      <c r="D41" s="58">
        <v>7.99</v>
      </c>
      <c r="E41" s="3">
        <v>13</v>
      </c>
      <c r="F41" s="58">
        <f t="shared" si="0"/>
        <v>103.87</v>
      </c>
      <c r="H41" s="59" t="s">
        <v>380</v>
      </c>
      <c r="I41" s="67" t="str">
        <f>IF(I39= "Invalid Part #","",VLOOKUP(I37,A16:F42,4))</f>
        <v/>
      </c>
    </row>
    <row r="42" spans="1:9">
      <c r="A42" s="3">
        <v>11164571</v>
      </c>
      <c r="B42" s="57" t="s">
        <v>275</v>
      </c>
      <c r="C42" s="3" t="s">
        <v>272</v>
      </c>
      <c r="D42" s="58">
        <v>23.54</v>
      </c>
      <c r="E42" s="3">
        <v>10</v>
      </c>
      <c r="F42" s="58">
        <f t="shared" si="0"/>
        <v>235.39999999999998</v>
      </c>
      <c r="H42" s="59" t="s">
        <v>381</v>
      </c>
      <c r="I42" s="59" t="str">
        <f>IF(I39= "Invalid Part #","",VLOOKUP(I37,A16:F42,5))</f>
        <v/>
      </c>
    </row>
  </sheetData>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93.xml><?xml version="1.0" encoding="utf-8"?>
<worksheet xmlns="http://schemas.openxmlformats.org/spreadsheetml/2006/main" xmlns:r="http://schemas.openxmlformats.org/officeDocument/2006/relationships">
  <dimension ref="A1:H27"/>
  <sheetViews>
    <sheetView showGridLines="0" workbookViewId="0">
      <selection activeCell="F4" sqref="F4"/>
    </sheetView>
  </sheetViews>
  <sheetFormatPr defaultRowHeight="15"/>
  <cols>
    <col min="1" max="1" width="9.140625" style="3"/>
    <col min="2" max="3" width="17.140625" style="3" customWidth="1"/>
    <col min="4" max="4" width="21.5703125" style="3" customWidth="1"/>
    <col min="5" max="5" width="17.28515625" style="3" customWidth="1"/>
    <col min="6" max="6" width="8.7109375" style="3" customWidth="1"/>
    <col min="7" max="7" width="10.5703125" style="3" customWidth="1"/>
    <col min="8" max="8" width="20.7109375" style="3" customWidth="1"/>
    <col min="9" max="16384" width="9.140625" style="3"/>
  </cols>
  <sheetData>
    <row r="1" spans="1:8" ht="22.5">
      <c r="A1" s="2" t="s">
        <v>248</v>
      </c>
      <c r="E1" s="637" t="s">
        <v>2056</v>
      </c>
    </row>
    <row r="3" spans="1:8" ht="18" thickBot="1">
      <c r="A3" s="6" t="s">
        <v>180</v>
      </c>
      <c r="B3" s="6"/>
      <c r="C3" s="6"/>
      <c r="D3" s="6"/>
      <c r="E3" s="6"/>
      <c r="F3" s="6"/>
      <c r="G3" s="6"/>
      <c r="H3" s="6"/>
    </row>
    <row r="4" spans="1:8" ht="16.5" thickTop="1" thickBot="1">
      <c r="A4" s="34" t="s">
        <v>181</v>
      </c>
      <c r="B4" s="34" t="s">
        <v>205</v>
      </c>
      <c r="C4" s="34" t="s">
        <v>206</v>
      </c>
      <c r="D4" s="34" t="s">
        <v>182</v>
      </c>
      <c r="E4" s="34" t="s">
        <v>175</v>
      </c>
      <c r="F4" s="34" t="s">
        <v>176</v>
      </c>
      <c r="G4" s="34" t="s">
        <v>183</v>
      </c>
      <c r="H4" s="34" t="s">
        <v>184</v>
      </c>
    </row>
    <row r="5" spans="1:8">
      <c r="A5" s="3">
        <v>3333</v>
      </c>
      <c r="B5" s="3" t="s">
        <v>196</v>
      </c>
      <c r="C5" s="3" t="s">
        <v>195</v>
      </c>
      <c r="D5" s="3" t="s">
        <v>216</v>
      </c>
      <c r="E5" s="3" t="s">
        <v>223</v>
      </c>
      <c r="F5" s="3" t="s">
        <v>225</v>
      </c>
      <c r="G5" s="3">
        <v>28307</v>
      </c>
      <c r="H5" s="4" t="s">
        <v>231</v>
      </c>
    </row>
    <row r="6" spans="1:8">
      <c r="A6" s="10">
        <v>2222</v>
      </c>
      <c r="B6" s="10" t="s">
        <v>194</v>
      </c>
      <c r="C6" s="10" t="s">
        <v>193</v>
      </c>
      <c r="D6" s="10" t="s">
        <v>211</v>
      </c>
      <c r="E6" s="10" t="s">
        <v>222</v>
      </c>
      <c r="F6" s="10" t="s">
        <v>225</v>
      </c>
      <c r="G6" s="10">
        <v>28306</v>
      </c>
      <c r="H6" s="35" t="s">
        <v>230</v>
      </c>
    </row>
    <row r="7" spans="1:8">
      <c r="A7" s="3">
        <v>7777</v>
      </c>
      <c r="B7" s="3" t="s">
        <v>192</v>
      </c>
      <c r="C7" s="3" t="s">
        <v>191</v>
      </c>
      <c r="D7" s="3" t="s">
        <v>210</v>
      </c>
      <c r="E7" s="3" t="s">
        <v>221</v>
      </c>
      <c r="F7" s="3" t="s">
        <v>225</v>
      </c>
      <c r="G7" s="3">
        <v>28305</v>
      </c>
      <c r="H7" s="4" t="s">
        <v>229</v>
      </c>
    </row>
    <row r="8" spans="1:8">
      <c r="A8" s="10">
        <v>5555</v>
      </c>
      <c r="B8" s="10" t="s">
        <v>202</v>
      </c>
      <c r="C8" s="10" t="s">
        <v>201</v>
      </c>
      <c r="D8" s="10" t="s">
        <v>214</v>
      </c>
      <c r="E8" s="10" t="s">
        <v>224</v>
      </c>
      <c r="F8" s="10" t="s">
        <v>225</v>
      </c>
      <c r="G8" s="10">
        <v>28390</v>
      </c>
      <c r="H8" s="35" t="s">
        <v>234</v>
      </c>
    </row>
    <row r="9" spans="1:8">
      <c r="A9" s="3">
        <v>6666</v>
      </c>
      <c r="B9" s="3" t="s">
        <v>204</v>
      </c>
      <c r="C9" s="3" t="s">
        <v>203</v>
      </c>
      <c r="D9" s="3" t="s">
        <v>215</v>
      </c>
      <c r="E9" s="3" t="s">
        <v>224</v>
      </c>
      <c r="F9" s="3" t="s">
        <v>225</v>
      </c>
      <c r="G9" s="3">
        <v>28390</v>
      </c>
      <c r="H9" s="4" t="s">
        <v>235</v>
      </c>
    </row>
    <row r="10" spans="1:8">
      <c r="A10" s="10">
        <v>1234</v>
      </c>
      <c r="B10" s="10" t="s">
        <v>190</v>
      </c>
      <c r="C10" s="10" t="s">
        <v>189</v>
      </c>
      <c r="D10" s="10" t="s">
        <v>209</v>
      </c>
      <c r="E10" s="10" t="s">
        <v>220</v>
      </c>
      <c r="F10" s="10" t="s">
        <v>225</v>
      </c>
      <c r="G10" s="10">
        <v>28304</v>
      </c>
      <c r="H10" s="35" t="s">
        <v>228</v>
      </c>
    </row>
    <row r="11" spans="1:8">
      <c r="A11" s="3">
        <v>1111</v>
      </c>
      <c r="B11" s="3" t="s">
        <v>198</v>
      </c>
      <c r="C11" s="3" t="s">
        <v>197</v>
      </c>
      <c r="D11" s="3" t="s">
        <v>212</v>
      </c>
      <c r="E11" s="3" t="s">
        <v>219</v>
      </c>
      <c r="F11" s="3" t="s">
        <v>225</v>
      </c>
      <c r="G11" s="3">
        <v>28301</v>
      </c>
      <c r="H11" s="4" t="s">
        <v>232</v>
      </c>
    </row>
    <row r="12" spans="1:8">
      <c r="A12" s="10">
        <v>4444</v>
      </c>
      <c r="B12" s="10" t="s">
        <v>200</v>
      </c>
      <c r="C12" s="10" t="s">
        <v>199</v>
      </c>
      <c r="D12" s="10" t="s">
        <v>213</v>
      </c>
      <c r="E12" s="10" t="s">
        <v>224</v>
      </c>
      <c r="F12" s="10" t="s">
        <v>225</v>
      </c>
      <c r="G12" s="10">
        <v>28390</v>
      </c>
      <c r="H12" s="35" t="s">
        <v>233</v>
      </c>
    </row>
    <row r="13" spans="1:8">
      <c r="A13" s="3">
        <v>9999</v>
      </c>
      <c r="B13" s="3" t="s">
        <v>186</v>
      </c>
      <c r="C13" s="3" t="s">
        <v>185</v>
      </c>
      <c r="D13" s="3" t="s">
        <v>207</v>
      </c>
      <c r="E13" s="3" t="s">
        <v>217</v>
      </c>
      <c r="F13" s="3" t="s">
        <v>225</v>
      </c>
      <c r="G13" s="3">
        <v>28309</v>
      </c>
      <c r="H13" s="4" t="s">
        <v>226</v>
      </c>
    </row>
    <row r="14" spans="1:8">
      <c r="A14" s="10">
        <v>8888</v>
      </c>
      <c r="B14" s="10" t="s">
        <v>188</v>
      </c>
      <c r="C14" s="10" t="s">
        <v>187</v>
      </c>
      <c r="D14" s="10" t="s">
        <v>208</v>
      </c>
      <c r="E14" s="10" t="s">
        <v>218</v>
      </c>
      <c r="F14" s="10" t="s">
        <v>225</v>
      </c>
      <c r="G14" s="10">
        <v>28302</v>
      </c>
      <c r="H14" s="35" t="s">
        <v>227</v>
      </c>
    </row>
    <row r="16" spans="1:8" ht="18" thickBot="1">
      <c r="A16" s="6" t="s">
        <v>236</v>
      </c>
      <c r="B16" s="6"/>
      <c r="C16" s="6"/>
    </row>
    <row r="17" spans="1:3" ht="16.5" thickTop="1" thickBot="1">
      <c r="A17" s="34" t="s">
        <v>237</v>
      </c>
      <c r="B17" s="34" t="s">
        <v>177</v>
      </c>
      <c r="C17" s="34" t="s">
        <v>178</v>
      </c>
    </row>
    <row r="18" spans="1:3">
      <c r="A18" s="3">
        <v>111</v>
      </c>
      <c r="B18" s="3" t="s">
        <v>238</v>
      </c>
      <c r="C18" s="36">
        <v>28</v>
      </c>
    </row>
    <row r="19" spans="1:3">
      <c r="A19" s="10">
        <v>222</v>
      </c>
      <c r="B19" s="10" t="s">
        <v>239</v>
      </c>
      <c r="C19" s="37">
        <v>21</v>
      </c>
    </row>
    <row r="20" spans="1:3">
      <c r="A20" s="3">
        <v>333</v>
      </c>
      <c r="B20" s="3" t="s">
        <v>240</v>
      </c>
      <c r="C20" s="36">
        <v>32</v>
      </c>
    </row>
    <row r="21" spans="1:3">
      <c r="A21" s="10">
        <v>444</v>
      </c>
      <c r="B21" s="10" t="s">
        <v>241</v>
      </c>
      <c r="C21" s="37">
        <v>12</v>
      </c>
    </row>
    <row r="22" spans="1:3">
      <c r="A22" s="3">
        <v>555</v>
      </c>
      <c r="B22" s="3" t="s">
        <v>242</v>
      </c>
      <c r="C22" s="36">
        <v>21</v>
      </c>
    </row>
    <row r="23" spans="1:3">
      <c r="A23" s="10">
        <v>666</v>
      </c>
      <c r="B23" s="10" t="s">
        <v>243</v>
      </c>
      <c r="C23" s="37">
        <v>47</v>
      </c>
    </row>
    <row r="24" spans="1:3">
      <c r="A24" s="3">
        <v>777</v>
      </c>
      <c r="B24" s="3" t="s">
        <v>244</v>
      </c>
      <c r="C24" s="36">
        <v>31</v>
      </c>
    </row>
    <row r="25" spans="1:3">
      <c r="A25" s="10">
        <v>888</v>
      </c>
      <c r="B25" s="10" t="s">
        <v>245</v>
      </c>
      <c r="C25" s="37">
        <v>27</v>
      </c>
    </row>
    <row r="26" spans="1:3">
      <c r="A26" s="3">
        <v>999</v>
      </c>
      <c r="B26" s="3" t="s">
        <v>246</v>
      </c>
      <c r="C26" s="36">
        <v>55</v>
      </c>
    </row>
    <row r="27" spans="1:3">
      <c r="A27" s="10">
        <v>123</v>
      </c>
      <c r="B27" s="10" t="s">
        <v>247</v>
      </c>
      <c r="C27" s="37">
        <v>14</v>
      </c>
    </row>
  </sheetData>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94.xml><?xml version="1.0" encoding="utf-8"?>
<worksheet xmlns="http://schemas.openxmlformats.org/spreadsheetml/2006/main" xmlns:r="http://schemas.openxmlformats.org/officeDocument/2006/relationships">
  <dimension ref="A1:E115"/>
  <sheetViews>
    <sheetView showGridLines="0" zoomScale="96" zoomScaleNormal="96" workbookViewId="0">
      <selection activeCell="F4" sqref="F4"/>
    </sheetView>
  </sheetViews>
  <sheetFormatPr defaultRowHeight="15"/>
  <cols>
    <col min="1" max="1" width="37" style="3" customWidth="1"/>
    <col min="2" max="2" width="73.85546875" style="3" customWidth="1"/>
    <col min="3" max="16384" width="9.140625" style="3"/>
  </cols>
  <sheetData>
    <row r="1" spans="1:5">
      <c r="A1" s="28" t="s">
        <v>70</v>
      </c>
      <c r="B1" s="28" t="s">
        <v>100</v>
      </c>
      <c r="E1" s="637" t="s">
        <v>2056</v>
      </c>
    </row>
    <row r="2" spans="1:5">
      <c r="A2" s="29" t="s">
        <v>413</v>
      </c>
      <c r="B2" s="30" t="s">
        <v>414</v>
      </c>
    </row>
    <row r="3" spans="1:5">
      <c r="A3" s="29" t="s">
        <v>415</v>
      </c>
      <c r="B3" s="30" t="s">
        <v>416</v>
      </c>
    </row>
    <row r="4" spans="1:5">
      <c r="A4" s="29" t="s">
        <v>417</v>
      </c>
      <c r="B4" s="30" t="s">
        <v>418</v>
      </c>
    </row>
    <row r="5" spans="1:5">
      <c r="A5" s="29" t="s">
        <v>419</v>
      </c>
      <c r="B5" s="30" t="s">
        <v>420</v>
      </c>
    </row>
    <row r="6" spans="1:5">
      <c r="A6" s="29" t="s">
        <v>421</v>
      </c>
      <c r="B6" s="30" t="s">
        <v>422</v>
      </c>
    </row>
    <row r="7" spans="1:5">
      <c r="A7" s="29" t="s">
        <v>423</v>
      </c>
      <c r="B7" s="30" t="s">
        <v>424</v>
      </c>
    </row>
    <row r="8" spans="1:5">
      <c r="A8" s="29" t="s">
        <v>425</v>
      </c>
      <c r="B8" s="30" t="s">
        <v>426</v>
      </c>
    </row>
    <row r="9" spans="1:5">
      <c r="A9" s="29" t="s">
        <v>427</v>
      </c>
      <c r="B9" s="30" t="s">
        <v>428</v>
      </c>
    </row>
    <row r="10" spans="1:5">
      <c r="A10" s="31"/>
    </row>
    <row r="11" spans="1:5" ht="21">
      <c r="A11" s="32" t="s">
        <v>429</v>
      </c>
    </row>
    <row r="12" spans="1:5">
      <c r="A12" s="28" t="s">
        <v>70</v>
      </c>
      <c r="B12" s="28" t="s">
        <v>100</v>
      </c>
    </row>
    <row r="13" spans="1:5">
      <c r="A13" s="29" t="s">
        <v>430</v>
      </c>
      <c r="B13" s="30" t="s">
        <v>431</v>
      </c>
    </row>
    <row r="14" spans="1:5">
      <c r="A14" s="29" t="s">
        <v>432</v>
      </c>
      <c r="B14" s="30" t="s">
        <v>433</v>
      </c>
    </row>
    <row r="15" spans="1:5">
      <c r="A15" s="29" t="s">
        <v>67</v>
      </c>
      <c r="B15" s="30" t="s">
        <v>434</v>
      </c>
    </row>
    <row r="16" spans="1:5">
      <c r="A16" s="29" t="s">
        <v>435</v>
      </c>
      <c r="B16" s="30" t="s">
        <v>436</v>
      </c>
    </row>
    <row r="17" spans="1:2" ht="25.5">
      <c r="A17" s="29" t="s">
        <v>49</v>
      </c>
      <c r="B17" s="30" t="s">
        <v>437</v>
      </c>
    </row>
    <row r="18" spans="1:2" ht="25.5">
      <c r="A18" s="29" t="s">
        <v>51</v>
      </c>
      <c r="B18" s="30" t="s">
        <v>438</v>
      </c>
    </row>
    <row r="19" spans="1:2">
      <c r="A19" s="29" t="s">
        <v>72</v>
      </c>
      <c r="B19" s="30" t="s">
        <v>439</v>
      </c>
    </row>
    <row r="20" spans="1:2">
      <c r="A20" s="29" t="s">
        <v>164</v>
      </c>
      <c r="B20" s="30" t="s">
        <v>440</v>
      </c>
    </row>
    <row r="21" spans="1:2">
      <c r="A21" s="29" t="s">
        <v>80</v>
      </c>
      <c r="B21" s="30" t="s">
        <v>441</v>
      </c>
    </row>
    <row r="22" spans="1:2">
      <c r="A22" s="29" t="s">
        <v>442</v>
      </c>
      <c r="B22" s="30" t="s">
        <v>443</v>
      </c>
    </row>
    <row r="23" spans="1:2" ht="25.5">
      <c r="A23" s="29" t="s">
        <v>444</v>
      </c>
      <c r="B23" s="30" t="s">
        <v>445</v>
      </c>
    </row>
    <row r="24" spans="1:2">
      <c r="A24" s="29" t="s">
        <v>59</v>
      </c>
      <c r="B24" s="30" t="s">
        <v>446</v>
      </c>
    </row>
    <row r="25" spans="1:2">
      <c r="A25" s="29" t="s">
        <v>76</v>
      </c>
      <c r="B25" s="30" t="s">
        <v>447</v>
      </c>
    </row>
    <row r="26" spans="1:2" ht="21">
      <c r="A26" s="32"/>
    </row>
    <row r="27" spans="1:2" ht="21">
      <c r="A27" s="32" t="s">
        <v>448</v>
      </c>
    </row>
    <row r="28" spans="1:2">
      <c r="A28" s="28" t="s">
        <v>70</v>
      </c>
      <c r="B28" s="28" t="s">
        <v>100</v>
      </c>
    </row>
    <row r="29" spans="1:2" ht="25.5">
      <c r="A29" s="29" t="s">
        <v>449</v>
      </c>
      <c r="B29" s="30" t="s">
        <v>450</v>
      </c>
    </row>
    <row r="30" spans="1:2">
      <c r="A30" s="29" t="s">
        <v>451</v>
      </c>
      <c r="B30" s="30" t="s">
        <v>452</v>
      </c>
    </row>
    <row r="31" spans="1:2">
      <c r="A31" s="29" t="s">
        <v>453</v>
      </c>
      <c r="B31" s="30" t="s">
        <v>454</v>
      </c>
    </row>
    <row r="32" spans="1:2">
      <c r="A32" s="29" t="s">
        <v>20</v>
      </c>
      <c r="B32" s="30" t="s">
        <v>455</v>
      </c>
    </row>
    <row r="33" spans="1:2">
      <c r="A33" s="29" t="s">
        <v>456</v>
      </c>
      <c r="B33" s="30" t="s">
        <v>457</v>
      </c>
    </row>
    <row r="34" spans="1:2">
      <c r="A34" s="29" t="s">
        <v>458</v>
      </c>
      <c r="B34" s="30" t="s">
        <v>459</v>
      </c>
    </row>
    <row r="35" spans="1:2">
      <c r="A35" s="29" t="s">
        <v>460</v>
      </c>
      <c r="B35" s="30" t="s">
        <v>461</v>
      </c>
    </row>
    <row r="36" spans="1:2" ht="21">
      <c r="A36" s="32"/>
    </row>
    <row r="37" spans="1:2" ht="21">
      <c r="A37" s="32" t="s">
        <v>462</v>
      </c>
    </row>
    <row r="38" spans="1:2">
      <c r="A38" s="28" t="s">
        <v>70</v>
      </c>
      <c r="B38" s="28" t="s">
        <v>100</v>
      </c>
    </row>
    <row r="39" spans="1:2">
      <c r="A39" s="29" t="s">
        <v>463</v>
      </c>
      <c r="B39" s="30" t="s">
        <v>464</v>
      </c>
    </row>
    <row r="40" spans="1:2">
      <c r="A40" s="29" t="s">
        <v>465</v>
      </c>
      <c r="B40" s="30" t="s">
        <v>466</v>
      </c>
    </row>
    <row r="41" spans="1:2">
      <c r="A41" s="29" t="s">
        <v>467</v>
      </c>
      <c r="B41" s="30" t="s">
        <v>468</v>
      </c>
    </row>
    <row r="42" spans="1:2">
      <c r="A42" s="29" t="s">
        <v>469</v>
      </c>
      <c r="B42" s="30" t="s">
        <v>470</v>
      </c>
    </row>
    <row r="43" spans="1:2">
      <c r="A43" s="29" t="s">
        <v>471</v>
      </c>
      <c r="B43" s="30" t="s">
        <v>472</v>
      </c>
    </row>
    <row r="44" spans="1:2">
      <c r="A44" s="29" t="s">
        <v>473</v>
      </c>
      <c r="B44" s="30" t="s">
        <v>474</v>
      </c>
    </row>
    <row r="45" spans="1:2">
      <c r="A45" s="29" t="s">
        <v>475</v>
      </c>
      <c r="B45" s="30" t="s">
        <v>476</v>
      </c>
    </row>
    <row r="46" spans="1:2">
      <c r="A46" s="29" t="s">
        <v>477</v>
      </c>
      <c r="B46" s="30" t="s">
        <v>478</v>
      </c>
    </row>
    <row r="47" spans="1:2">
      <c r="A47" s="29" t="s">
        <v>479</v>
      </c>
      <c r="B47" s="30" t="s">
        <v>480</v>
      </c>
    </row>
    <row r="48" spans="1:2">
      <c r="A48" s="29" t="s">
        <v>481</v>
      </c>
      <c r="B48" s="30" t="s">
        <v>482</v>
      </c>
    </row>
    <row r="49" spans="1:2" ht="23.25">
      <c r="A49" s="33"/>
    </row>
    <row r="50" spans="1:2" ht="23.25">
      <c r="A50" s="33" t="s">
        <v>483</v>
      </c>
    </row>
    <row r="51" spans="1:2">
      <c r="A51" s="28" t="s">
        <v>70</v>
      </c>
      <c r="B51" s="28" t="s">
        <v>100</v>
      </c>
    </row>
    <row r="52" spans="1:2">
      <c r="A52" s="29" t="s">
        <v>484</v>
      </c>
      <c r="B52" s="30" t="s">
        <v>485</v>
      </c>
    </row>
    <row r="53" spans="1:2">
      <c r="A53" s="29" t="b">
        <v>0</v>
      </c>
      <c r="B53" s="30" t="s">
        <v>486</v>
      </c>
    </row>
    <row r="54" spans="1:2">
      <c r="A54" s="29" t="s">
        <v>11</v>
      </c>
      <c r="B54" s="30" t="s">
        <v>487</v>
      </c>
    </row>
    <row r="55" spans="1:2">
      <c r="A55" s="29" t="s">
        <v>488</v>
      </c>
      <c r="B55" s="30" t="s">
        <v>489</v>
      </c>
    </row>
    <row r="56" spans="1:2">
      <c r="A56" s="29" t="s">
        <v>490</v>
      </c>
      <c r="B56" s="30" t="s">
        <v>491</v>
      </c>
    </row>
    <row r="57" spans="1:2">
      <c r="A57" s="29" t="b">
        <v>1</v>
      </c>
      <c r="B57" s="30" t="s">
        <v>492</v>
      </c>
    </row>
    <row r="58" spans="1:2" ht="21">
      <c r="A58" s="32"/>
    </row>
    <row r="59" spans="1:2" ht="21">
      <c r="A59" s="32" t="s">
        <v>493</v>
      </c>
    </row>
    <row r="60" spans="1:2">
      <c r="A60" s="28" t="s">
        <v>70</v>
      </c>
      <c r="B60" s="28" t="s">
        <v>100</v>
      </c>
    </row>
    <row r="61" spans="1:2">
      <c r="A61" s="29" t="s">
        <v>494</v>
      </c>
      <c r="B61" s="30" t="s">
        <v>495</v>
      </c>
    </row>
    <row r="62" spans="1:2">
      <c r="A62" s="29" t="s">
        <v>496</v>
      </c>
      <c r="B62" s="30" t="s">
        <v>497</v>
      </c>
    </row>
    <row r="63" spans="1:2">
      <c r="A63" s="29" t="s">
        <v>98</v>
      </c>
      <c r="B63" s="30" t="s">
        <v>498</v>
      </c>
    </row>
    <row r="64" spans="1:2" ht="25.5">
      <c r="A64" s="29" t="s">
        <v>499</v>
      </c>
      <c r="B64" s="30" t="s">
        <v>500</v>
      </c>
    </row>
    <row r="65" spans="1:2">
      <c r="A65" s="29" t="s">
        <v>501</v>
      </c>
      <c r="B65" s="30" t="s">
        <v>502</v>
      </c>
    </row>
    <row r="66" spans="1:2">
      <c r="A66" s="29" t="s">
        <v>503</v>
      </c>
      <c r="B66" s="30" t="s">
        <v>504</v>
      </c>
    </row>
    <row r="67" spans="1:2">
      <c r="A67" s="29" t="s">
        <v>505</v>
      </c>
      <c r="B67" s="30" t="s">
        <v>506</v>
      </c>
    </row>
    <row r="68" spans="1:2" ht="25.5">
      <c r="A68" s="29" t="s">
        <v>99</v>
      </c>
      <c r="B68" s="30" t="s">
        <v>507</v>
      </c>
    </row>
    <row r="69" spans="1:2" ht="21">
      <c r="A69" s="32"/>
    </row>
    <row r="70" spans="1:2" ht="21">
      <c r="A70" s="32" t="s">
        <v>508</v>
      </c>
    </row>
    <row r="71" spans="1:2">
      <c r="A71" s="28" t="s">
        <v>70</v>
      </c>
      <c r="B71" s="28" t="s">
        <v>100</v>
      </c>
    </row>
    <row r="72" spans="1:2">
      <c r="A72" s="29" t="s">
        <v>509</v>
      </c>
      <c r="B72" s="30" t="s">
        <v>510</v>
      </c>
    </row>
    <row r="73" spans="1:2">
      <c r="A73" s="29" t="s">
        <v>511</v>
      </c>
      <c r="B73" s="30" t="s">
        <v>512</v>
      </c>
    </row>
    <row r="74" spans="1:2">
      <c r="A74" s="29" t="s">
        <v>513</v>
      </c>
      <c r="B74" s="30" t="s">
        <v>514</v>
      </c>
    </row>
    <row r="75" spans="1:2">
      <c r="A75" s="29" t="s">
        <v>515</v>
      </c>
      <c r="B75" s="30" t="s">
        <v>516</v>
      </c>
    </row>
    <row r="76" spans="1:2">
      <c r="A76" s="29" t="s">
        <v>517</v>
      </c>
      <c r="B76" s="30" t="s">
        <v>518</v>
      </c>
    </row>
    <row r="77" spans="1:2">
      <c r="A77" s="29" t="s">
        <v>519</v>
      </c>
      <c r="B77" s="30" t="s">
        <v>520</v>
      </c>
    </row>
    <row r="78" spans="1:2">
      <c r="A78" s="29" t="s">
        <v>521</v>
      </c>
      <c r="B78" s="30" t="s">
        <v>522</v>
      </c>
    </row>
    <row r="79" spans="1:2">
      <c r="A79" s="29" t="s">
        <v>523</v>
      </c>
      <c r="B79" s="30" t="s">
        <v>524</v>
      </c>
    </row>
    <row r="80" spans="1:2">
      <c r="A80" s="29" t="s">
        <v>250</v>
      </c>
      <c r="B80" s="30" t="s">
        <v>525</v>
      </c>
    </row>
    <row r="81" spans="1:2" ht="21">
      <c r="A81" s="32"/>
    </row>
    <row r="82" spans="1:2" ht="21">
      <c r="A82" s="32" t="s">
        <v>317</v>
      </c>
    </row>
    <row r="83" spans="1:2">
      <c r="A83" s="28" t="s">
        <v>70</v>
      </c>
      <c r="B83" s="28" t="s">
        <v>100</v>
      </c>
    </row>
    <row r="84" spans="1:2">
      <c r="A84" s="29" t="s">
        <v>252</v>
      </c>
      <c r="B84" s="30" t="s">
        <v>526</v>
      </c>
    </row>
    <row r="85" spans="1:2">
      <c r="A85" s="29" t="s">
        <v>255</v>
      </c>
      <c r="B85" s="30" t="s">
        <v>527</v>
      </c>
    </row>
    <row r="86" spans="1:2">
      <c r="A86" s="29" t="s">
        <v>256</v>
      </c>
      <c r="B86" s="30" t="s">
        <v>528</v>
      </c>
    </row>
    <row r="87" spans="1:2">
      <c r="A87" s="29" t="s">
        <v>529</v>
      </c>
      <c r="B87" s="30" t="s">
        <v>530</v>
      </c>
    </row>
    <row r="88" spans="1:2">
      <c r="A88" s="29" t="s">
        <v>249</v>
      </c>
      <c r="B88" s="30" t="s">
        <v>531</v>
      </c>
    </row>
    <row r="89" spans="1:2">
      <c r="A89" s="29" t="s">
        <v>253</v>
      </c>
      <c r="B89" s="30" t="s">
        <v>532</v>
      </c>
    </row>
    <row r="90" spans="1:2">
      <c r="A90" s="29" t="s">
        <v>254</v>
      </c>
      <c r="B90" s="30" t="s">
        <v>533</v>
      </c>
    </row>
    <row r="91" spans="1:2">
      <c r="A91" s="29" t="s">
        <v>534</v>
      </c>
      <c r="B91" s="30" t="s">
        <v>535</v>
      </c>
    </row>
    <row r="92" spans="1:2">
      <c r="A92" s="31"/>
    </row>
    <row r="94" spans="1:2" ht="21">
      <c r="A94" s="32"/>
    </row>
    <row r="95" spans="1:2" ht="21">
      <c r="A95" s="32" t="s">
        <v>257</v>
      </c>
    </row>
    <row r="96" spans="1:2">
      <c r="A96" s="28" t="s">
        <v>70</v>
      </c>
      <c r="B96" s="28" t="s">
        <v>100</v>
      </c>
    </row>
    <row r="97" spans="1:2">
      <c r="A97" s="29" t="s">
        <v>536</v>
      </c>
      <c r="B97" s="30" t="s">
        <v>537</v>
      </c>
    </row>
    <row r="98" spans="1:2">
      <c r="A98" s="29" t="s">
        <v>538</v>
      </c>
      <c r="B98" s="30" t="s">
        <v>539</v>
      </c>
    </row>
    <row r="99" spans="1:2">
      <c r="A99" s="29" t="s">
        <v>540</v>
      </c>
      <c r="B99" s="30" t="s">
        <v>541</v>
      </c>
    </row>
    <row r="100" spans="1:2">
      <c r="A100" s="29" t="s">
        <v>542</v>
      </c>
      <c r="B100" s="30" t="s">
        <v>543</v>
      </c>
    </row>
    <row r="101" spans="1:2">
      <c r="A101" s="29" t="s">
        <v>544</v>
      </c>
      <c r="B101" s="30" t="s">
        <v>545</v>
      </c>
    </row>
    <row r="102" spans="1:2">
      <c r="A102" s="29" t="s">
        <v>546</v>
      </c>
      <c r="B102" s="30" t="s">
        <v>547</v>
      </c>
    </row>
    <row r="103" spans="1:2" ht="25.5">
      <c r="A103" s="29" t="s">
        <v>548</v>
      </c>
      <c r="B103" s="30" t="s">
        <v>549</v>
      </c>
    </row>
    <row r="104" spans="1:2">
      <c r="A104" s="29" t="s">
        <v>550</v>
      </c>
      <c r="B104" s="30" t="s">
        <v>551</v>
      </c>
    </row>
    <row r="105" spans="1:2">
      <c r="A105" s="29" t="s">
        <v>552</v>
      </c>
      <c r="B105" s="30" t="s">
        <v>553</v>
      </c>
    </row>
    <row r="106" spans="1:2">
      <c r="A106" s="29" t="s">
        <v>554</v>
      </c>
      <c r="B106" s="30" t="s">
        <v>555</v>
      </c>
    </row>
    <row r="107" spans="1:2">
      <c r="A107" s="29" t="s">
        <v>556</v>
      </c>
      <c r="B107" s="30" t="s">
        <v>557</v>
      </c>
    </row>
    <row r="108" spans="1:2">
      <c r="A108" s="29" t="s">
        <v>558</v>
      </c>
      <c r="B108" s="30" t="s">
        <v>559</v>
      </c>
    </row>
    <row r="109" spans="1:2">
      <c r="A109" s="29" t="s">
        <v>560</v>
      </c>
      <c r="B109" s="30" t="s">
        <v>561</v>
      </c>
    </row>
    <row r="110" spans="1:2">
      <c r="A110" s="29" t="s">
        <v>562</v>
      </c>
      <c r="B110" s="30" t="s">
        <v>563</v>
      </c>
    </row>
    <row r="111" spans="1:2">
      <c r="A111" s="29" t="s">
        <v>564</v>
      </c>
      <c r="B111" s="30" t="s">
        <v>565</v>
      </c>
    </row>
    <row r="112" spans="1:2">
      <c r="A112" s="29" t="s">
        <v>566</v>
      </c>
      <c r="B112" s="30" t="s">
        <v>567</v>
      </c>
    </row>
    <row r="113" spans="1:2">
      <c r="A113" s="29" t="s">
        <v>568</v>
      </c>
      <c r="B113" s="30" t="s">
        <v>569</v>
      </c>
    </row>
    <row r="114" spans="1:2">
      <c r="A114" s="31"/>
    </row>
    <row r="115" spans="1:2">
      <c r="A115" s="31"/>
    </row>
  </sheetData>
  <hyperlinks>
    <hyperlink ref="A2" r:id="rId1" display="javascript:go('/search/redir.aspx?AssetID=HP052090451033&amp;CTT=5&amp;Origin=HP052042111033')"/>
    <hyperlink ref="A3" r:id="rId2" display="javascript:go('/search/redir.aspx?AssetID=HP052090491033&amp;CTT=5&amp;Origin=HP052042111033')"/>
    <hyperlink ref="A4" r:id="rId3" display="javascript:go('/search/redir.aspx?AssetID=HP052090501033&amp;CTT=5&amp;Origin=HP052042111033')"/>
    <hyperlink ref="A5" r:id="rId4" display="javascript:go('/search/redir.aspx?AssetID=HP052090591033&amp;CTT=5&amp;Origin=HP052042111033')"/>
    <hyperlink ref="A6" r:id="rId5" display="javascript:go('/search/redir.aspx?AssetID=HP052090611033&amp;CTT=5&amp;Origin=HP052042111033')"/>
    <hyperlink ref="A7" r:id="rId6" display="javascript:go('/search/redir.aspx?AssetID=HP052090621033&amp;CTT=5&amp;Origin=HP052042111033')"/>
    <hyperlink ref="A8" r:id="rId7" display="javascript:go('/search/redir.aspx?AssetID=HP052090661033&amp;CTT=5&amp;Origin=HP052042111033')"/>
    <hyperlink ref="A9" r:id="rId8" display="javascript:go('/search/redir.aspx?AssetID=HP052090691033&amp;CTT=5&amp;Origin=HP052042111033')"/>
    <hyperlink ref="A13" r:id="rId9" display="javascript:go('/search/redir.aspx?AssetID=HP052090421033&amp;CTT=5&amp;Origin=HP052042111033')"/>
    <hyperlink ref="A14" r:id="rId10" display="javascript:go('/search/redir.aspx?AssetID=HP052090441033&amp;CTT=5&amp;Origin=HP052042111033')"/>
    <hyperlink ref="A15" r:id="rId11" display="javascript:go('/search/redir.aspx?AssetID=HP052090461033&amp;CTT=5&amp;Origin=HP052042111033')"/>
    <hyperlink ref="A16" r:id="rId12" display="javascript:go('/search/redir.aspx?AssetID=HP052090471033&amp;CTT=5&amp;Origin=HP052042111033')"/>
    <hyperlink ref="A17" r:id="rId13" display="javascript:go('/search/redir.aspx?AssetID=HP052090731033&amp;CTT=5&amp;Origin=HP052042111033')"/>
    <hyperlink ref="A18" r:id="rId14" display="javascript:go('/search/redir.aspx?AssetID=HP052090761033&amp;CTT=5&amp;Origin=HP052042111033')"/>
    <hyperlink ref="A19" r:id="rId15" display="javascript:go('/search/redir.aspx?AssetID=HP052091841033&amp;CTT=5&amp;Origin=HP052042111033')"/>
    <hyperlink ref="A20" r:id="rId16" display="javascript:go('/search/redir.aspx?AssetID=HP052091971033&amp;CTT=5&amp;Origin=HP052042111033')"/>
    <hyperlink ref="A21" r:id="rId17" display="javascript:go('/search/redir.aspx?AssetID=HP052093181033&amp;CTT=5&amp;Origin=HP052042111033')"/>
    <hyperlink ref="A22" r:id="rId18" display="javascript:go('/search/redir.aspx?AssetID=HP052093361033&amp;CTT=5&amp;Origin=HP052042111033')"/>
    <hyperlink ref="A23" r:id="rId19" display="javascript:go('/search/redir.aspx?AssetID=HP052093371033&amp;CTT=5&amp;Origin=HP052042111033')"/>
    <hyperlink ref="A24" r:id="rId20" display="javascript:go('/search/redir.aspx?AssetID=HP052093391033&amp;CTT=5&amp;Origin=HP052042111033')"/>
    <hyperlink ref="A25" r:id="rId21" display="javascript:go('/search/redir.aspx?AssetID=HP052093431033&amp;CTT=5&amp;Origin=HP052042111033')"/>
    <hyperlink ref="A29" r:id="rId22" display="javascript:go('/search/redir.aspx?AssetID=HP052090511033&amp;CTT=5&amp;Origin=HP052042111033')"/>
    <hyperlink ref="A30" r:id="rId23" display="javascript:go('/search/redir.aspx?AssetID=HP052090601033&amp;CTT=5&amp;Origin=HP052042111033')"/>
    <hyperlink ref="A31" r:id="rId24" display="javascript:go('/search/redir.aspx?AssetID=HP052090991033&amp;CTT=5&amp;Origin=HP052042111033')"/>
    <hyperlink ref="A32" r:id="rId25" display="javascript:go('/search/redir.aspx?AssetID=HP052092151033&amp;CTT=5&amp;Origin=HP052042111033')"/>
    <hyperlink ref="A33" r:id="rId26" display="javascript:go('/search/redir.aspx?AssetID=HP052092251033&amp;CTT=5&amp;Origin=HP052042111033')"/>
    <hyperlink ref="A34" r:id="rId27" display="javascript:go('/search/redir.aspx?AssetID=HP052092631033&amp;CTT=5&amp;Origin=HP052042111033')"/>
    <hyperlink ref="A35" r:id="rId28" display="javascript:go('/search/redir.aspx?AssetID=HP052093021033&amp;CTT=5&amp;Origin=HP052042111033')"/>
    <hyperlink ref="A39" r:id="rId29" display="javascript:go('/search/redir.aspx?AssetID=HP052090081033&amp;CTT=5&amp;Origin=HP052042111033')"/>
    <hyperlink ref="A40" r:id="rId30" display="javascript:go('/search/redir.aspx?AssetID=HP052090791033&amp;CTT=5&amp;Origin=HP052042111033')"/>
    <hyperlink ref="A41" r:id="rId31" display="javascript:go('/search/redir.aspx?AssetID=HP052091401033&amp;CTT=5&amp;Origin=HP052042111033')"/>
    <hyperlink ref="A42" r:id="rId32" display="javascript:go('/search/redir.aspx?AssetID=HP052091471033&amp;CTT=5&amp;Origin=HP052042111033')"/>
    <hyperlink ref="A43" r:id="rId33" display="javascript:go('/search/redir.aspx?AssetID=HP052091471033&amp;CTT=5&amp;Origin=HP052042111033')"/>
    <hyperlink ref="A44" r:id="rId34" display="javascript:go('/search/redir.aspx?AssetID=HP052091471033&amp;CTT=5&amp;Origin=HP052042111033')"/>
    <hyperlink ref="A45" r:id="rId35" display="javascript:go('/search/redir.aspx?AssetID=HP052091471033&amp;CTT=5&amp;Origin=HP052042111033')"/>
    <hyperlink ref="A46" r:id="rId36" display="javascript:go('/search/redir.aspx?AssetID=HP052091471033&amp;CTT=5&amp;Origin=HP052042111033')"/>
    <hyperlink ref="A47" r:id="rId37" display="javascript:go('/search/redir.aspx?AssetID=HP052091471033&amp;CTT=5&amp;Origin=HP052042111033')"/>
    <hyperlink ref="A48" r:id="rId38" display="javascript:go('/search/redir.aspx?AssetID=HP052091471033&amp;CTT=5&amp;Origin=HP052042111033')"/>
    <hyperlink ref="A52" r:id="rId39" display="javascript:go('/search/redir.aspx?AssetID=HP052089861033&amp;CTT=5&amp;Origin=HP052042111033')"/>
    <hyperlink ref="A53" r:id="rId40" display="javascript:go('/search/redir.aspx?AssetID=HP052090861033&amp;CTT=5&amp;Origin=HP052042111033')"/>
    <hyperlink ref="A54" r:id="rId41" display="javascript:go('/search/redir.aspx?AssetID=HP052091181033&amp;CTT=5&amp;Origin=HP052042111033')"/>
    <hyperlink ref="A55" r:id="rId42" display="javascript:go('/search/redir.aspx?AssetID=HP052091961033&amp;CTT=5&amp;Origin=HP052042111033')"/>
    <hyperlink ref="A56" r:id="rId43" display="javascript:go('/search/redir.aspx?AssetID=HP052092091033&amp;CTT=5&amp;Origin=HP052042111033')"/>
    <hyperlink ref="A57" r:id="rId44" display="javascript:go('/search/redir.aspx?AssetID=HP052093231033&amp;CTT=5&amp;Origin=HP052042111033')"/>
    <hyperlink ref="A61" r:id="rId45" display="javascript:go('/search/redir.aspx?AssetID=HP052090131033&amp;CTT=5&amp;Origin=HP052042111033')"/>
    <hyperlink ref="A62" r:id="rId46" display="javascript:go('/search/redir.aspx?AssetID=HP052091071033&amp;CTT=5&amp;Origin=HP052042111033')"/>
    <hyperlink ref="A63" r:id="rId47" display="javascript:go('/search/redir.aspx?AssetID=HP052091141033&amp;CTT=5&amp;Origin=HP052042111033')"/>
    <hyperlink ref="A64" r:id="rId48" display="javascript:go('/search/redir.aspx?AssetID=HP052091161033&amp;CTT=5&amp;Origin=HP052042111033')"/>
    <hyperlink ref="A65" r:id="rId49" display="javascript:go('/search/redir.aspx?AssetID=HP052091381033&amp;CTT=5&amp;Origin=HP052042111033')"/>
    <hyperlink ref="A66" r:id="rId50" display="javascript:go('/search/redir.aspx?AssetID=HP052091631033&amp;CTT=5&amp;Origin=HP052042111033')"/>
    <hyperlink ref="A67" r:id="rId51" display="javascript:go('/search/redir.aspx?AssetID=HP052093191033&amp;CTT=5&amp;Origin=HP052042111033')"/>
    <hyperlink ref="A68" r:id="rId52" display="javascript:go('/search/redir.aspx?AssetID=HP052093351033&amp;CTT=5&amp;Origin=HP052042111033')"/>
    <hyperlink ref="A72" r:id="rId53" display="javascript:go('/search/redir.aspx?AssetID=HP052092291033&amp;CTT=5&amp;Origin=HP052042111033')"/>
    <hyperlink ref="A73" r:id="rId54" display="javascript:go('/search/redir.aspx?AssetID=HP052092301033&amp;CTT=5&amp;Origin=HP052042111033')"/>
    <hyperlink ref="A74" r:id="rId55" display="javascript:go('/search/redir.aspx?AssetID=HP052092391033&amp;CTT=5&amp;Origin=HP052042111033')"/>
    <hyperlink ref="A75" r:id="rId56" display="javascript:go('/search/redir.aspx?AssetID=HP052092411033&amp;CTT=5&amp;Origin=HP052042111033')"/>
    <hyperlink ref="A76" r:id="rId57" display="javascript:go('/search/redir.aspx?AssetID=HP052092421033&amp;CTT=5&amp;Origin=HP052042111033')"/>
    <hyperlink ref="A77" r:id="rId58" display="javascript:go('/search/redir.aspx?AssetID=HP052092551033&amp;CTT=5&amp;Origin=HP052042111033')"/>
    <hyperlink ref="A78" r:id="rId59" display="javascript:go('/search/redir.aspx?AssetID=HP052092881033&amp;CTT=5&amp;Origin=HP052042111033')"/>
    <hyperlink ref="A79" r:id="rId60" display="javascript:go('/search/redir.aspx?AssetID=HP052092901033&amp;CTT=5&amp;Origin=HP052042111033')"/>
    <hyperlink ref="A80" r:id="rId61" display="javascript:go('/search/redir.aspx?AssetID=HP052092921033&amp;CTT=5&amp;Origin=HP052042111033')"/>
    <hyperlink ref="A84" r:id="rId62" display="javascript:go('/search/redir.aspx?AssetID=HP052089941033&amp;CTT=5&amp;Origin=HP052042111033')"/>
    <hyperlink ref="A85" r:id="rId63" display="javascript:go('/search/redir.aspx?AssetID=HP052090261033&amp;CTT=5&amp;Origin=HP052042111033')"/>
    <hyperlink ref="A86" r:id="rId64" display="javascript:go('/search/redir.aspx?AssetID=HP052090271033&amp;CTT=5&amp;Origin=HP052042111033')"/>
    <hyperlink ref="A87" r:id="rId65" display="javascript:go('/search/redir.aspx?AssetID=HP052090281033&amp;CTT=5&amp;Origin=HP052042111033')"/>
    <hyperlink ref="A88" r:id="rId66" display="javascript:go('/search/redir.aspx?AssetID=HP052090291033&amp;CTT=5&amp;Origin=HP052042111033')"/>
    <hyperlink ref="A89" r:id="rId67" display="javascript:go('/search/redir.aspx?AssetID=HP052091701033&amp;CTT=5&amp;Origin=HP052042111033')"/>
    <hyperlink ref="A90" r:id="rId68" display="javascript:go('/search/redir.aspx?AssetID=HP052091761033&amp;CTT=5&amp;Origin=HP052042111033')"/>
    <hyperlink ref="A91" r:id="rId69" display="javascript:go('/search/redir.aspx?AssetID=HP052092311033&amp;CTT=5&amp;Origin=HP052042111033')"/>
    <hyperlink ref="A97" r:id="rId70" display="javascript:go('/search/redir.aspx?AssetID=HP052090141033&amp;CTT=5&amp;Origin=HP052042111033')"/>
    <hyperlink ref="A98" r:id="rId71" display="javascript:go('/search/redir.aspx?AssetID=HP052090201033&amp;CTT=5&amp;Origin=HP052042111033')"/>
    <hyperlink ref="A99" r:id="rId72" display="javascript:go('/search/redir.aspx?AssetID=HP052090891033&amp;CTT=5&amp;Origin=HP052042111033')"/>
    <hyperlink ref="A100" r:id="rId73" display="javascript:go('/search/redir.aspx?AssetID=HP052091531033&amp;CTT=5&amp;Origin=HP052042111033')"/>
    <hyperlink ref="A101" r:id="rId74" display="javascript:go('/search/redir.aspx?AssetID=HP052091541033&amp;CTT=5&amp;Origin=HP052042111033')"/>
    <hyperlink ref="A102" r:id="rId75" display="javascript:go('/search/redir.aspx?AssetID=HP052091671033&amp;CTT=5&amp;Origin=HP052042111033')"/>
    <hyperlink ref="A103" r:id="rId76" display="javascript:go('/search/redir.aspx?AssetID=HP052091751033&amp;CTT=5&amp;Origin=HP052042111033')"/>
    <hyperlink ref="A104" r:id="rId77" display="javascript:go('/search/redir.aspx?AssetID=HP052092241033&amp;CTT=5&amp;Origin=HP052042111033')"/>
    <hyperlink ref="A105" r:id="rId78" display="javascript:go('/search/redir.aspx?AssetID=HP052092351033&amp;CTT=5&amp;Origin=HP052042111033')"/>
    <hyperlink ref="A106" r:id="rId79" display="javascript:go('/search/redir.aspx?AssetID=HP052092361033&amp;CTT=5&amp;Origin=HP052042111033')"/>
    <hyperlink ref="A107" r:id="rId80" display="javascript:go('/search/redir.aspx?AssetID=HP052092371033&amp;CTT=5&amp;Origin=HP052042111033')"/>
    <hyperlink ref="A108" r:id="rId81" display="javascript:go('/search/redir.aspx?AssetID=HP052092491033&amp;CTT=5&amp;Origin=HP052042111033')"/>
    <hyperlink ref="A109" r:id="rId82" display="javascript:go('/search/redir.aspx?AssetID=HP052092861033&amp;CTT=5&amp;Origin=HP052042111033')"/>
    <hyperlink ref="A110" r:id="rId83" display="javascript:go('/search/redir.aspx?AssetID=HP052093131033&amp;CTT=5&amp;Origin=HP052042111033')"/>
    <hyperlink ref="A111" r:id="rId84" display="javascript:go('/search/redir.aspx?AssetID=HP052093211033&amp;CTT=5&amp;Origin=HP052042111033')"/>
    <hyperlink ref="A112" r:id="rId85" display="javascript:go('/search/redir.aspx?AssetID=HP052093271033&amp;CTT=5&amp;Origin=HP052042111033')"/>
    <hyperlink ref="A113" r:id="rId86" display="javascript:go('/search/redir.aspx?AssetID=HP052093291033&amp;CTT=5&amp;Origin=HP052042111033')"/>
  </hyperlinks>
  <pageMargins left="0.7" right="0.7" top="0.75" bottom="0.75" header="0.3" footer="0.3"/>
  <pageSetup orientation="portrait"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12</vt:i4>
      </vt:variant>
    </vt:vector>
  </HeadingPairs>
  <TitlesOfParts>
    <vt:vector size="106" baseType="lpstr">
      <vt:lpstr>MAIN</vt:lpstr>
      <vt:lpstr>INSERT FUNCTION</vt:lpstr>
      <vt:lpstr>1 IF a</vt:lpstr>
      <vt:lpstr>1 IF b</vt:lpstr>
      <vt:lpstr>1 IF c</vt:lpstr>
      <vt:lpstr>1 IF d</vt:lpstr>
      <vt:lpstr>1 IF e</vt:lpstr>
      <vt:lpstr>1 IF f</vt:lpstr>
      <vt:lpstr>2 SUM</vt:lpstr>
      <vt:lpstr>3 SUBTOTAL a</vt:lpstr>
      <vt:lpstr>3 SUBTOTAL b</vt:lpstr>
      <vt:lpstr>4 SUMIF</vt:lpstr>
      <vt:lpstr>5 COUNT</vt:lpstr>
      <vt:lpstr>6 COUNTA</vt:lpstr>
      <vt:lpstr>7 AVERAGE</vt:lpstr>
      <vt:lpstr>8 COUNTBLANK</vt:lpstr>
      <vt:lpstr>9 COUNTIF</vt:lpstr>
      <vt:lpstr>10 Value</vt:lpstr>
      <vt:lpstr>11 TEXT</vt:lpstr>
      <vt:lpstr>12 VLOOKUP</vt:lpstr>
      <vt:lpstr>13 HLOOKUP</vt:lpstr>
      <vt:lpstr>14 TWO WAY LOOKUP</vt:lpstr>
      <vt:lpstr>15 LOOKUP</vt:lpstr>
      <vt:lpstr>16 MATCH</vt:lpstr>
      <vt:lpstr>17 TRIM</vt:lpstr>
      <vt:lpstr>18 PROPER</vt:lpstr>
      <vt:lpstr>19 LOWER</vt:lpstr>
      <vt:lpstr>21 LEFT</vt:lpstr>
      <vt:lpstr>20 UPPER</vt:lpstr>
      <vt:lpstr>22 RIGHT</vt:lpstr>
      <vt:lpstr>23 MID</vt:lpstr>
      <vt:lpstr>24 FIND</vt:lpstr>
      <vt:lpstr>25 SUBSTITUTE</vt:lpstr>
      <vt:lpstr>26 LEN</vt:lpstr>
      <vt:lpstr>26 LEN adv</vt:lpstr>
      <vt:lpstr>27 REPLACE</vt:lpstr>
      <vt:lpstr>28 CONCANTENATE</vt:lpstr>
      <vt:lpstr>29 CLEAN</vt:lpstr>
      <vt:lpstr>30 NOW</vt:lpstr>
      <vt:lpstr>31 TODAY</vt:lpstr>
      <vt:lpstr>32 DATE</vt:lpstr>
      <vt:lpstr>33 MONTH</vt:lpstr>
      <vt:lpstr>34 DAY</vt:lpstr>
      <vt:lpstr>35 YEAR</vt:lpstr>
      <vt:lpstr>36 WEEKDAY</vt:lpstr>
      <vt:lpstr>37 ROUND</vt:lpstr>
      <vt:lpstr>38 ROUNDDOWN</vt:lpstr>
      <vt:lpstr>39 ROUNDUP (2)</vt:lpstr>
      <vt:lpstr>40 MAX</vt:lpstr>
      <vt:lpstr>41 DMAX </vt:lpstr>
      <vt:lpstr>42 MIN </vt:lpstr>
      <vt:lpstr>43 DMIN</vt:lpstr>
      <vt:lpstr>44 MEDIAN</vt:lpstr>
      <vt:lpstr>45 MODE</vt:lpstr>
      <vt:lpstr>46 PERCENTILE</vt:lpstr>
      <vt:lpstr>47 PERCENTRANK</vt:lpstr>
      <vt:lpstr>48 PMT</vt:lpstr>
      <vt:lpstr>49 NPV</vt:lpstr>
      <vt:lpstr>50 DSUM</vt:lpstr>
      <vt:lpstr>51 DCOUNT</vt:lpstr>
      <vt:lpstr>52 DCOUNTA</vt:lpstr>
      <vt:lpstr>53 AND</vt:lpstr>
      <vt:lpstr>54 OR</vt:lpstr>
      <vt:lpstr>55 CHOOSE</vt:lpstr>
      <vt:lpstr>56 TIME</vt:lpstr>
      <vt:lpstr>57 FV</vt:lpstr>
      <vt:lpstr>58 IRR</vt:lpstr>
      <vt:lpstr>59 YIELD</vt:lpstr>
      <vt:lpstr>60 CELL</vt:lpstr>
      <vt:lpstr>61 INFO</vt:lpstr>
      <vt:lpstr>62 ERROR TYPE</vt:lpstr>
      <vt:lpstr>63 ISBLANK</vt:lpstr>
      <vt:lpstr>64 ISNA</vt:lpstr>
      <vt:lpstr>65 GETPIVOTDATA</vt:lpstr>
      <vt:lpstr>66 HYPERLINK</vt:lpstr>
      <vt:lpstr>67 TRANSPOSE</vt:lpstr>
      <vt:lpstr>68 ABS</vt:lpstr>
      <vt:lpstr>69 RAND</vt:lpstr>
      <vt:lpstr>70 RANDBETWEEN</vt:lpstr>
      <vt:lpstr>71 REPT</vt:lpstr>
      <vt:lpstr>72 SLN</vt:lpstr>
      <vt:lpstr>73 SYD</vt:lpstr>
      <vt:lpstr>74 DDB</vt:lpstr>
      <vt:lpstr>75 DGET</vt:lpstr>
      <vt:lpstr>76 DAY</vt:lpstr>
      <vt:lpstr>77 WEEKNUM</vt:lpstr>
      <vt:lpstr>MORE PMT</vt:lpstr>
      <vt:lpstr>MORE Date</vt:lpstr>
      <vt:lpstr>MORE_Lookup</vt:lpstr>
      <vt:lpstr>MORE Time</vt:lpstr>
      <vt:lpstr>MORE Other</vt:lpstr>
      <vt:lpstr>New in 07</vt:lpstr>
      <vt:lpstr>Lookup Tables</vt:lpstr>
      <vt:lpstr>SELECTED FUNCTIONS</vt:lpstr>
      <vt:lpstr>data1</vt:lpstr>
      <vt:lpstr>'SELECTED FUNCTIONS'!Date_and_Time_functions</vt:lpstr>
      <vt:lpstr>'SELECTED FUNCTIONS'!Financial_functions</vt:lpstr>
      <vt:lpstr>'SELECTED FUNCTIONS'!Information_functions</vt:lpstr>
      <vt:lpstr>'SELECTED FUNCTIONS'!Logical_functions</vt:lpstr>
      <vt:lpstr>'SELECTED FUNCTIONS'!Lookup_and_Reference_functions</vt:lpstr>
      <vt:lpstr>'SELECTED FUNCTIONS'!Math_and_Trigonometry_functions</vt:lpstr>
      <vt:lpstr>MAIN!OLE_LINK1</vt:lpstr>
      <vt:lpstr>MAIN!OLE_LINK2</vt:lpstr>
      <vt:lpstr>results1</vt:lpstr>
      <vt:lpstr>'SELECTED FUNCTIONS'!Statistical_functions</vt:lpstr>
      <vt:lpstr>'SELECTED FUNCTIONS'!Text_functions</vt:lpstr>
    </vt:vector>
  </TitlesOfParts>
  <Company>FTCC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Function Samples</dc:title>
  <dc:creator>carlton</dc:creator>
  <cp:lastModifiedBy>Carlton</cp:lastModifiedBy>
  <cp:lastPrinted>2008-06-10T18:04:36Z</cp:lastPrinted>
  <dcterms:created xsi:type="dcterms:W3CDTF">2008-04-07T19:24:54Z</dcterms:created>
  <dcterms:modified xsi:type="dcterms:W3CDTF">2010-03-25T01:19:36Z</dcterms:modified>
</cp:coreProperties>
</file>