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210" yWindow="75" windowWidth="15600" windowHeight="10170"/>
  </bookViews>
  <sheets>
    <sheet name="fx" sheetId="10" r:id="rId1"/>
    <sheet name="IF 1" sheetId="15" r:id="rId2"/>
    <sheet name="IF 2" sheetId="1" r:id="rId3"/>
    <sheet name="IF 3" sheetId="17" r:id="rId4"/>
    <sheet name="IF 4" sheetId="22" r:id="rId5"/>
    <sheet name="IF 5" sheetId="19" r:id="rId6"/>
    <sheet name="IF 6" sheetId="16" r:id="rId7"/>
    <sheet name="PMT" sheetId="2" r:id="rId8"/>
    <sheet name="Date" sheetId="4" r:id="rId9"/>
    <sheet name="Lookup" sheetId="12" r:id="rId10"/>
    <sheet name="More Lookup" sheetId="8" r:id="rId11"/>
    <sheet name="Time" sheetId="6" r:id="rId12"/>
    <sheet name="Other" sheetId="7" r:id="rId13"/>
    <sheet name="New in 07" sheetId="11" r:id="rId14"/>
    <sheet name="Lookup Tables" sheetId="9" r:id="rId15"/>
    <sheet name="Sheet1" sheetId="13" r:id="rId16"/>
    <sheet name="Sheet2" sheetId="14" r:id="rId17"/>
    <sheet name="Sheet3" sheetId="23" r:id="rId18"/>
  </sheets>
  <definedNames>
    <definedName name="Date_and_Time_functions" localSheetId="16">Sheet2!$A$10</definedName>
    <definedName name="Financial_functions" localSheetId="16">Sheet2!$A$26</definedName>
    <definedName name="Information_functions" localSheetId="16">Sheet2!$A$36</definedName>
    <definedName name="Logical_functions" localSheetId="16">Sheet2!$A$49</definedName>
    <definedName name="Lookup_and_Reference_functions" localSheetId="16">Sheet2!$A$58</definedName>
    <definedName name="Math_and_Trigonometry_functions" localSheetId="16">Sheet2!$A$69</definedName>
    <definedName name="Statistical_functions" localSheetId="16">Sheet2!$A$81</definedName>
    <definedName name="Text_functions" localSheetId="16">Sheet2!$A$92</definedName>
  </definedNames>
  <calcPr calcId="125725"/>
</workbook>
</file>

<file path=xl/calcChain.xml><?xml version="1.0" encoding="utf-8"?>
<calcChain xmlns="http://schemas.openxmlformats.org/spreadsheetml/2006/main">
  <c r="D8" i="19"/>
  <c r="D9"/>
  <c r="D10"/>
  <c r="D11"/>
  <c r="D12"/>
  <c r="D13"/>
  <c r="D14"/>
  <c r="D15"/>
  <c r="D7" i="22"/>
  <c r="D8"/>
  <c r="D9"/>
  <c r="D10"/>
  <c r="D11"/>
  <c r="D12"/>
  <c r="D13"/>
  <c r="D14"/>
  <c r="D6"/>
  <c r="A4"/>
  <c r="A6" i="17"/>
  <c r="C11" s="1"/>
  <c r="D11" s="1"/>
  <c r="D7" i="19"/>
  <c r="A5"/>
  <c r="D10" i="1"/>
  <c r="D11"/>
  <c r="D12"/>
  <c r="K18" i="16"/>
  <c r="I18"/>
  <c r="G18"/>
  <c r="E18"/>
  <c r="E20" s="1"/>
  <c r="K17"/>
  <c r="K16" s="1"/>
  <c r="K20" s="1"/>
  <c r="I17"/>
  <c r="G17"/>
  <c r="G16" s="1"/>
  <c r="G20" s="1"/>
  <c r="E17"/>
  <c r="C17" s="1"/>
  <c r="I16"/>
  <c r="I20" s="1"/>
  <c r="E16"/>
  <c r="C16" s="1"/>
  <c r="C57" i="15"/>
  <c r="C58"/>
  <c r="C59"/>
  <c r="C60"/>
  <c r="C56"/>
  <c r="C55"/>
  <c r="C54"/>
  <c r="D30"/>
  <c r="D29"/>
  <c r="D28"/>
  <c r="D27"/>
  <c r="D26"/>
  <c r="D25"/>
  <c r="D24"/>
  <c r="D23"/>
  <c r="D22"/>
  <c r="D21"/>
  <c r="D20"/>
  <c r="D18"/>
  <c r="D17"/>
  <c r="D16"/>
  <c r="D15"/>
  <c r="D14"/>
  <c r="D13"/>
  <c r="D19"/>
  <c r="D8"/>
  <c r="D3"/>
  <c r="C8" i="17" l="1"/>
  <c r="D8" s="1"/>
  <c r="C10"/>
  <c r="D10" s="1"/>
  <c r="C9"/>
  <c r="D9" s="1"/>
  <c r="C20" i="16"/>
  <c r="C18"/>
  <c r="B9" i="12" l="1"/>
  <c r="B11"/>
  <c r="B12"/>
  <c r="B13"/>
  <c r="B20"/>
  <c r="B22"/>
  <c r="B23"/>
  <c r="B24"/>
  <c r="B25"/>
  <c r="B26"/>
  <c r="I39" i="11"/>
  <c r="I41" s="1"/>
  <c r="I21"/>
  <c r="I20"/>
  <c r="I19"/>
  <c r="I18"/>
  <c r="I29"/>
  <c r="I28"/>
  <c r="I27"/>
  <c r="I26"/>
  <c r="I6"/>
  <c r="F42"/>
  <c r="F41"/>
  <c r="F40"/>
  <c r="F39"/>
  <c r="F38"/>
  <c r="F37"/>
  <c r="F36"/>
  <c r="F35"/>
  <c r="F34"/>
  <c r="F33"/>
  <c r="F32"/>
  <c r="F31"/>
  <c r="F30"/>
  <c r="F29"/>
  <c r="F28"/>
  <c r="F27"/>
  <c r="F26"/>
  <c r="F25"/>
  <c r="F24"/>
  <c r="F23"/>
  <c r="F22"/>
  <c r="F21"/>
  <c r="F20"/>
  <c r="F19"/>
  <c r="F18"/>
  <c r="F17"/>
  <c r="F16"/>
  <c r="C40" i="7"/>
  <c r="C39"/>
  <c r="C38"/>
  <c r="D33"/>
  <c r="D31"/>
  <c r="D29"/>
  <c r="D27"/>
  <c r="D25"/>
  <c r="D19"/>
  <c r="D17"/>
  <c r="K14"/>
  <c r="K18"/>
  <c r="K19"/>
  <c r="K23"/>
  <c r="K27"/>
  <c r="K32"/>
  <c r="K37"/>
  <c r="K42"/>
  <c r="D9"/>
  <c r="D5"/>
  <c r="D13"/>
  <c r="D11"/>
  <c r="D7"/>
  <c r="K43"/>
  <c r="K41"/>
  <c r="K40"/>
  <c r="K39"/>
  <c r="K38"/>
  <c r="K36"/>
  <c r="K35"/>
  <c r="K34"/>
  <c r="K33"/>
  <c r="K31"/>
  <c r="K30"/>
  <c r="K29"/>
  <c r="K28"/>
  <c r="K26"/>
  <c r="K25"/>
  <c r="K24"/>
  <c r="K22"/>
  <c r="K21"/>
  <c r="K20"/>
  <c r="K17"/>
  <c r="K16"/>
  <c r="K15"/>
  <c r="K13"/>
  <c r="K12"/>
  <c r="K11"/>
  <c r="K10"/>
  <c r="K9"/>
  <c r="K8"/>
  <c r="K7"/>
  <c r="K6"/>
  <c r="K5"/>
  <c r="K4"/>
  <c r="I8" i="11"/>
  <c r="I40"/>
  <c r="I42"/>
  <c r="I10"/>
  <c r="I4"/>
  <c r="B12" i="8"/>
  <c r="E22"/>
  <c r="E23"/>
  <c r="E24"/>
  <c r="C21"/>
  <c r="E21" s="1"/>
  <c r="C22"/>
  <c r="C23"/>
  <c r="C24"/>
  <c r="C20"/>
  <c r="E20" s="1"/>
  <c r="B21"/>
  <c r="B22"/>
  <c r="B23"/>
  <c r="B24"/>
  <c r="B20"/>
  <c r="C19"/>
  <c r="E19" s="1"/>
  <c r="B19"/>
  <c r="B15"/>
  <c r="B14"/>
  <c r="B13"/>
  <c r="B9"/>
  <c r="B29" i="6"/>
  <c r="A40" i="4"/>
  <c r="B43"/>
  <c r="A43"/>
  <c r="B32" i="6"/>
  <c r="A32"/>
  <c r="C24"/>
  <c r="B24"/>
  <c r="B21"/>
  <c r="B18"/>
  <c r="B15"/>
  <c r="C11"/>
  <c r="C8"/>
  <c r="A34" i="4"/>
  <c r="B34" s="1"/>
  <c r="A37"/>
  <c r="B37" s="1"/>
  <c r="A31"/>
  <c r="B31" s="1"/>
  <c r="A27"/>
  <c r="C27" s="1"/>
  <c r="A26"/>
  <c r="C26" s="1"/>
  <c r="A23"/>
  <c r="A22"/>
  <c r="A19"/>
  <c r="C19" s="1"/>
  <c r="A18"/>
  <c r="C18" s="1"/>
  <c r="B23" s="1"/>
  <c r="A17"/>
  <c r="C17" s="1"/>
  <c r="B22" s="1"/>
  <c r="A14"/>
  <c r="C14" s="1"/>
  <c r="A10"/>
  <c r="C10" s="1"/>
  <c r="A7"/>
  <c r="C7" s="1"/>
  <c r="B15" i="2"/>
  <c r="B10"/>
  <c r="B23"/>
  <c r="B18" s="1"/>
  <c r="B40"/>
  <c r="B35"/>
  <c r="B32"/>
  <c r="B27" s="1"/>
  <c r="D6" i="1"/>
  <c r="D7"/>
  <c r="D8"/>
  <c r="D9"/>
  <c r="D15" i="7" l="1"/>
  <c r="C23" i="4"/>
  <c r="C22"/>
</calcChain>
</file>

<file path=xl/comments1.xml><?xml version="1.0" encoding="utf-8"?>
<comments xmlns="http://schemas.openxmlformats.org/spreadsheetml/2006/main">
  <authors>
    <author>Boni</author>
  </authors>
  <commentList>
    <comment ref="D19" authorId="0">
      <text>
        <r>
          <rPr>
            <b/>
            <sz val="9"/>
            <color indexed="81"/>
            <rFont val="Tahoma"/>
            <family val="2"/>
          </rPr>
          <t xml:space="preserve">If #NAME? Error
</t>
        </r>
        <r>
          <rPr>
            <sz val="9"/>
            <color indexed="81"/>
            <rFont val="Tahoma"/>
            <family val="2"/>
          </rPr>
          <t>Must have Excel 2007 to use this function.</t>
        </r>
      </text>
    </comment>
  </commentList>
</comments>
</file>

<file path=xl/sharedStrings.xml><?xml version="1.0" encoding="utf-8"?>
<sst xmlns="http://schemas.openxmlformats.org/spreadsheetml/2006/main" count="981" uniqueCount="665">
  <si>
    <t>Employee</t>
  </si>
  <si>
    <t>Hire date</t>
  </si>
  <si>
    <t>Smith, John</t>
  </si>
  <si>
    <t>Jones, Joe</t>
  </si>
  <si>
    <t>Garcia, Jorge</t>
  </si>
  <si>
    <t>Singh, Lisa</t>
  </si>
  <si>
    <t>Years Employed</t>
  </si>
  <si>
    <t>Yes</t>
  </si>
  <si>
    <t>No</t>
  </si>
  <si>
    <t>Deduction</t>
  </si>
  <si>
    <t>In this sample, the IF function is checking to see if they have signed up for insurance.  If they have, the deduction amount is entered.</t>
  </si>
  <si>
    <t>IF</t>
  </si>
  <si>
    <t>If Function with logical Or</t>
  </si>
  <si>
    <t>Team</t>
  </si>
  <si>
    <t>A</t>
  </si>
  <si>
    <t>B</t>
  </si>
  <si>
    <t>C</t>
  </si>
  <si>
    <t>D</t>
  </si>
  <si>
    <t>Meeting Day</t>
  </si>
  <si>
    <t>Teams A and C meet on Tuesday, Teams B and D meet on Thursday.  We want to list the meeting days in column D.</t>
  </si>
  <si>
    <t>The IF function is determining each employees earned vacation days.  If they have worked for more than a year, they have earned 5 vacation days plus one day for each additional full year.</t>
  </si>
  <si>
    <t>PMT</t>
  </si>
  <si>
    <t>PMT Function Samples</t>
  </si>
  <si>
    <t>The PMT function calculates the payment for a loan based on constant payments and a constant interest rate.</t>
  </si>
  <si>
    <t>Payment:</t>
  </si>
  <si>
    <t>Loan Amount</t>
  </si>
  <si>
    <t>Interest Rate</t>
  </si>
  <si>
    <t>Number of years</t>
  </si>
  <si>
    <t>Payments per year</t>
  </si>
  <si>
    <t>Total Payments</t>
  </si>
  <si>
    <t>Balloon Payment</t>
  </si>
  <si>
    <t>Monthly Deposit to Reach Savings Goal</t>
  </si>
  <si>
    <t>Savings Goal</t>
  </si>
  <si>
    <t>Payment for Loan w/Balloon Payment</t>
  </si>
  <si>
    <t>Payment for Home Loan</t>
  </si>
  <si>
    <t>Payment for Home Loan in Canada</t>
  </si>
  <si>
    <t>This time we are depositing money to reach a savings goal, so the pv is 0 and the fv is the amount we want to have in</t>
  </si>
  <si>
    <t>savings at the end of the given number of years.</t>
  </si>
  <si>
    <t>((1+(B37/2))^2)^(1/12)-1</t>
  </si>
  <si>
    <t>Canadians have this complicated compounded semi-annually thing so we can't just divide by the number of periods but</t>
  </si>
  <si>
    <t>have to use this fancier calculation for the rate argument:</t>
  </si>
  <si>
    <t>Compared to our first loan calculation, you can see that it actually saves them a bit, so is worth the extra work.</t>
  </si>
  <si>
    <t>and payments are made at the end of the month, the last two arguments are not required.</t>
  </si>
  <si>
    <t>Date Functions</t>
  </si>
  <si>
    <t>Basic Math with Dates</t>
  </si>
  <si>
    <t>Difference in number of days</t>
  </si>
  <si>
    <t>Add days to a date</t>
  </si>
  <si>
    <t>is the date 90 days after today.</t>
  </si>
  <si>
    <t>is the number of days between today and 1/1/08.</t>
  </si>
  <si>
    <t>Function Syntax</t>
  </si>
  <si>
    <t>EDATE</t>
  </si>
  <si>
    <t>Add number of months to a date.</t>
  </si>
  <si>
    <t>EOMONTH</t>
  </si>
  <si>
    <t>Gives the end of month date for a date plus a given number of months.</t>
  </si>
  <si>
    <t>is the last day in this month.</t>
  </si>
  <si>
    <t>is next months end of month date.</t>
  </si>
  <si>
    <t>is the end of month date for three months from now.</t>
  </si>
  <si>
    <t>NETWORKDAYS</t>
  </si>
  <si>
    <t>Returns the number of full workdays between two dates.</t>
  </si>
  <si>
    <t>Holidays is an optional range containing dates to exclude.</t>
  </si>
  <si>
    <t>WORKDAY</t>
  </si>
  <si>
    <t>Returns a date that is the given number of working days before or after a date.</t>
  </si>
  <si>
    <t>is the date 5 work days before today.</t>
  </si>
  <si>
    <t>is the date 45 work days from today.</t>
  </si>
  <si>
    <t>Here are a few you might find useful.</t>
  </si>
  <si>
    <t xml:space="preserve"> is the number of workdays between these dates</t>
  </si>
  <si>
    <t>is the number of workdays between these dates.</t>
  </si>
  <si>
    <t>Information from Dates</t>
  </si>
  <si>
    <t>DAY</t>
  </si>
  <si>
    <t>Returns the day of a date, a number between 1 and 31.</t>
  </si>
  <si>
    <t>=DAY(A32)</t>
  </si>
  <si>
    <t>Function</t>
  </si>
  <si>
    <t>DAY(valid date)</t>
  </si>
  <si>
    <t>MONTH</t>
  </si>
  <si>
    <t>Returns the month, a number between 1 and 12.</t>
  </si>
  <si>
    <t>=MONTH(A35)</t>
  </si>
  <si>
    <t>MONTH(valid date)</t>
  </si>
  <si>
    <t>YEAR</t>
  </si>
  <si>
    <t>Returns the year, a number between 1900 and 9999.</t>
  </si>
  <si>
    <t>=YEAR(A38)</t>
  </si>
  <si>
    <t>YEAR(valid date)</t>
  </si>
  <si>
    <t>TODAY</t>
  </si>
  <si>
    <t>Returns the current date.</t>
  </si>
  <si>
    <t>=TODAY()</t>
  </si>
  <si>
    <t>TODAY()</t>
  </si>
  <si>
    <t>Lookup Functions</t>
  </si>
  <si>
    <t>=EDATE(A15,B15)</t>
  </si>
  <si>
    <t>=EOMONTH(A18,B18)</t>
  </si>
  <si>
    <t>=EOMONTH(A19,B19)</t>
  </si>
  <si>
    <t>=EOMONTH(A20,B20)</t>
  </si>
  <si>
    <t>=NETWORKDAYS(A23,B23)</t>
  </si>
  <si>
    <t>=NETWORKDAYS(A24,B24)</t>
  </si>
  <si>
    <t>=WORKDAY(A27,-B27)</t>
  </si>
  <si>
    <t>=WORKDAY(A28,B28)</t>
  </si>
  <si>
    <t>=A8-B8</t>
  </si>
  <si>
    <t>=A11+B11</t>
  </si>
  <si>
    <t>Formula in Column C</t>
  </si>
  <si>
    <t>Function in Column C</t>
  </si>
  <si>
    <t>Function in Column B</t>
  </si>
  <si>
    <t>HLOOKUP</t>
  </si>
  <si>
    <t>VLOOKUP</t>
  </si>
  <si>
    <t>Description</t>
  </si>
  <si>
    <t>Searches for a value in the top row of a table of values, and then returns a value in the same column from a row you specify.</t>
  </si>
  <si>
    <t>Jan</t>
  </si>
  <si>
    <t>Feb</t>
  </si>
  <si>
    <t>Mar</t>
  </si>
  <si>
    <t>HLOOKUP(lookup value, table, row num, range lookup)</t>
  </si>
  <si>
    <t>Lookup value is the value to find in the first row.</t>
  </si>
  <si>
    <t>Table is the data table to use for the lookup.</t>
  </si>
  <si>
    <t>Lookup value</t>
  </si>
  <si>
    <t>Row num</t>
  </si>
  <si>
    <t>Returned</t>
  </si>
  <si>
    <t>=HLOOKUP(B6,D6:G9,B7,0)</t>
  </si>
  <si>
    <t>Function in B9:</t>
  </si>
  <si>
    <t>E</t>
  </si>
  <si>
    <t>There are a number of functions in Excel that allow you to search for information in a table of data.  Here are the two most used lookup functions.</t>
  </si>
  <si>
    <t>Searches for a value in the first column of a table of values, and then returns a value in the same row from a column you specify.</t>
  </si>
  <si>
    <t>Column num</t>
  </si>
  <si>
    <t>Lookup value is the value to find in the first column.</t>
  </si>
  <si>
    <t>VLOOKUP(lookup value, table, col num, range lookup)</t>
  </si>
  <si>
    <t>Exact Match</t>
  </si>
  <si>
    <t>Blue</t>
  </si>
  <si>
    <t>Green</t>
  </si>
  <si>
    <t>Red</t>
  </si>
  <si>
    <t>Yellow</t>
  </si>
  <si>
    <t>=HLOOKUP(A11,D11:G12,2)</t>
  </si>
  <si>
    <t>=HLOOKUP(A12,D11:G12,2)</t>
  </si>
  <si>
    <t>=HLOOKUP(A13,D11:G12,2)</t>
  </si>
  <si>
    <t>Function in B20:</t>
  </si>
  <si>
    <t>=VLOOKUP(B17,D17:G20,B18,0)</t>
  </si>
  <si>
    <t>=VLOOKUP(A22,$D$22:$E$26,2)</t>
  </si>
  <si>
    <t>=VLOOKUP(A23,$D$22:$E$26,2)</t>
  </si>
  <si>
    <t>=VLOOKUP(A24,$D$22:$E$26,2)</t>
  </si>
  <si>
    <t>=VLOOKUP(A25,$D$22:$E$26,2)</t>
  </si>
  <si>
    <t>=VLOOKUP(A26,$D$22:$E$26,2)</t>
  </si>
  <si>
    <t>Time Functions</t>
  </si>
  <si>
    <t>Math with Times</t>
  </si>
  <si>
    <t>Difference in time</t>
  </si>
  <si>
    <t>is the difference between the given times.</t>
  </si>
  <si>
    <t>=B8-A8</t>
  </si>
  <si>
    <t>Add Times</t>
  </si>
  <si>
    <t>is the total of the hours.</t>
  </si>
  <si>
    <t>Format for Total</t>
  </si>
  <si>
    <t>[h]:mm;@</t>
  </si>
  <si>
    <t>Time in Excel is actually stored as a decimal number ranging from 0 (zero) to 0.99999999, representing the times from 0:00:00 (12:00:00 AM) to 23:59:59 (11:59:59 P.M.).</t>
  </si>
  <si>
    <t>As with dates, you can do standard math, adding and subtracting hours, easily with Excel.  Functions are available for when you need to do more.</t>
  </si>
  <si>
    <t>HOUR</t>
  </si>
  <si>
    <t>=HOUR(A15)</t>
  </si>
  <si>
    <t>HOUR(valid time)</t>
  </si>
  <si>
    <t>MINUTE</t>
  </si>
  <si>
    <t>Returns the hour of a time. The hour is given as an integer, between 0 (12:00 A.M.) and 23 (11:00 P.M.).</t>
  </si>
  <si>
    <t>Returns the minutes of a time. The minute is given as an integer, between 0 and 59.</t>
  </si>
  <si>
    <t>=MINUTE(A18)</t>
  </si>
  <si>
    <t>MINUTE(valid time)</t>
  </si>
  <si>
    <t>SECOND(valid time)</t>
  </si>
  <si>
    <t>SECOND</t>
  </si>
  <si>
    <t>Returns the seconds of a time. The second is given as an integer between 0 (zero) and 59.</t>
  </si>
  <si>
    <t>=SECOND(A21)</t>
  </si>
  <si>
    <t>TIME</t>
  </si>
  <si>
    <t>Shown in time and general (decimal) format.</t>
  </si>
  <si>
    <t>=TIME(A24,A25,A26)</t>
  </si>
  <si>
    <t>Returns the decimal number of the time represented by a text string.</t>
  </si>
  <si>
    <t>TIMEVALUE(time in text format)</t>
  </si>
  <si>
    <t>2:35:27 PM</t>
  </si>
  <si>
    <t>TIMEVALUE</t>
  </si>
  <si>
    <t>NOW</t>
  </si>
  <si>
    <t>NOW()</t>
  </si>
  <si>
    <t>No arguments.</t>
  </si>
  <si>
    <t>Returns the current date and time.</t>
  </si>
  <si>
    <t>The number to the left of the decimal is the date value and the number to the right of the decimal is the time.</t>
  </si>
  <si>
    <t>Date/Time Format</t>
  </si>
  <si>
    <t>General Format</t>
  </si>
  <si>
    <t>Returns the decimal number for a specific hour, minute, and second combination.</t>
  </si>
  <si>
    <t>=TIMEVALUE(A29)</t>
  </si>
  <si>
    <t>=NOW()</t>
  </si>
  <si>
    <t>Other Functions</t>
  </si>
  <si>
    <t>Shipping Address</t>
  </si>
  <si>
    <t>Address 1</t>
  </si>
  <si>
    <t>City</t>
  </si>
  <si>
    <t>State</t>
  </si>
  <si>
    <t>Zip</t>
  </si>
  <si>
    <t>Customer Order</t>
  </si>
  <si>
    <t>Name</t>
  </si>
  <si>
    <t>Price</t>
  </si>
  <si>
    <t>Qty</t>
  </si>
  <si>
    <t>Charge</t>
  </si>
  <si>
    <t>Customer ID</t>
  </si>
  <si>
    <t>Customer Name</t>
  </si>
  <si>
    <t>Customers</t>
  </si>
  <si>
    <t>ID</t>
  </si>
  <si>
    <t>Address</t>
  </si>
  <si>
    <t>Zip Code</t>
  </si>
  <si>
    <t>Phone</t>
  </si>
  <si>
    <t>Vickie</t>
  </si>
  <si>
    <t>Keane</t>
  </si>
  <si>
    <t>Tony</t>
  </si>
  <si>
    <t>Mai</t>
  </si>
  <si>
    <t>William</t>
  </si>
  <si>
    <t>Getty</t>
  </si>
  <si>
    <t>Myra</t>
  </si>
  <si>
    <t>Bruner</t>
  </si>
  <si>
    <t>Cindy</t>
  </si>
  <si>
    <t>Barrington</t>
  </si>
  <si>
    <t>Ella</t>
  </si>
  <si>
    <t>Arteaga</t>
  </si>
  <si>
    <t>Bryan</t>
  </si>
  <si>
    <t>Givens</t>
  </si>
  <si>
    <t>Geneva</t>
  </si>
  <si>
    <t>Haller</t>
  </si>
  <si>
    <t>Jill</t>
  </si>
  <si>
    <t>Caruso</t>
  </si>
  <si>
    <t>Kara</t>
  </si>
  <si>
    <t>Charlton</t>
  </si>
  <si>
    <t>Last Name</t>
  </si>
  <si>
    <t>First Name</t>
  </si>
  <si>
    <t>47 Carolyn Avenue</t>
  </si>
  <si>
    <t>732 Oregon Street</t>
  </si>
  <si>
    <t>81 Columbus Road</t>
  </si>
  <si>
    <t>182 Birchwood Street</t>
  </si>
  <si>
    <t>271 Latrell Road</t>
  </si>
  <si>
    <t>72 White Eagle Street</t>
  </si>
  <si>
    <t>985 Lisa Street</t>
  </si>
  <si>
    <t>524 Ridge Road</t>
  </si>
  <si>
    <t>52 Hiroko Street</t>
  </si>
  <si>
    <t>58 Langley Avenue</t>
  </si>
  <si>
    <t>Middleton</t>
  </si>
  <si>
    <t>Madison</t>
  </si>
  <si>
    <t>Fayetteville</t>
  </si>
  <si>
    <t>Buena Vista</t>
  </si>
  <si>
    <t>Refugio</t>
  </si>
  <si>
    <t>Baltimore</t>
  </si>
  <si>
    <t>Aurora</t>
  </si>
  <si>
    <t>Spring Lake</t>
  </si>
  <si>
    <t>NC</t>
  </si>
  <si>
    <t>(910) 473-7752</t>
  </si>
  <si>
    <t>(910) 350-9309</t>
  </si>
  <si>
    <t>(910) 475-4153</t>
  </si>
  <si>
    <t>(910) 331-5052</t>
  </si>
  <si>
    <t>(910) 428-4137</t>
  </si>
  <si>
    <t>(910) 413-4728</t>
  </si>
  <si>
    <t>(910) 456-5660</t>
  </si>
  <si>
    <t>(910) 357-3062</t>
  </si>
  <si>
    <t>(910) 420-9063</t>
  </si>
  <si>
    <t>(910) 384-4911</t>
  </si>
  <si>
    <t>Products</t>
  </si>
  <si>
    <t>Item No</t>
  </si>
  <si>
    <t>Item No.</t>
  </si>
  <si>
    <t>Widget</t>
  </si>
  <si>
    <t>Gadget</t>
  </si>
  <si>
    <t>Thingamagig</t>
  </si>
  <si>
    <t>Whatsit</t>
  </si>
  <si>
    <t>Thingy</t>
  </si>
  <si>
    <t>Dohickey</t>
  </si>
  <si>
    <t>Doodad</t>
  </si>
  <si>
    <t>Geehaw</t>
  </si>
  <si>
    <t>Wadget</t>
  </si>
  <si>
    <t>Yaknow</t>
  </si>
  <si>
    <t>Tables for VLOOKUP Sample</t>
  </si>
  <si>
    <t>Syntax:  VLOOKUP(lookup value, table, col num, range lookup)</t>
  </si>
  <si>
    <t>Function in Cell B9:  =VLOOKUP(B8,'Lookup Tables'!A4:H14,3,0)&amp;" "&amp;VLOOKUP(B8,'Lookup Tables'!A4:H14,2,0)</t>
  </si>
  <si>
    <t>The customer name in cell B9 is taken from the table on the Lookup Tables sheet.  Because the first and last name are</t>
  </si>
  <si>
    <t>listed in separate columns, we are looking them up separately and then using the concatenation operator (&amp;) to put</t>
  </si>
  <si>
    <t>Function in cell B12:  =VLOOKUP($B$8,'Lookup Tables'!$A$4:$H$14,4,0)</t>
  </si>
  <si>
    <t>could copy to create the following three address formulas.  After copy, we only had to edit the col num.</t>
  </si>
  <si>
    <t>The lookup value ($B$8) and the table ('Lookup Tables'!$A$4:$H$14) were changed to absolute references so that we</t>
  </si>
  <si>
    <t>1111, 2222, 3333, 4444, 5555, 6666, 7777, 8888, 9999, 1234</t>
  </si>
  <si>
    <t>Function in B19:  =VLOOKUP(A19,'Lookup Tables'!A17:C27,2)</t>
  </si>
  <si>
    <t>Function in B20:  =IF(A20&lt;&gt;"",VLOOKUP(A20,'Lookup Tables'!$A$17:$C$27,2,0),"")</t>
  </si>
  <si>
    <t>Valid item numbers are:  111, 222, 333, 444, 555, 666, 777, 888, 999, 123. To remove an</t>
  </si>
  <si>
    <t>item from the Customer Order, delete only the item number and quantity.</t>
  </si>
  <si>
    <t>them together with a space in between.</t>
  </si>
  <si>
    <t xml:space="preserve">To see order information change, enter an Item No. anywhere in the A19:A24 range. </t>
  </si>
  <si>
    <t xml:space="preserve">To see why the IF function was added around the VLOOKUP, delete the Item No. in cell A19.  </t>
  </si>
  <si>
    <t>Cells B19 and C19 contain only the VLOOKUP formula, but cells B20 through C24 have the VLOOKUP nested in an IF function.</t>
  </si>
  <si>
    <t>If VLOOKUP does not have a lookup value, it returns the #N/A error message.  It looks better to have a blank cell, so the IF function is checking to see if an item number has been</t>
  </si>
  <si>
    <t>COUNTIF</t>
  </si>
  <si>
    <t>SUMIF</t>
  </si>
  <si>
    <t>AVERAGEIF</t>
  </si>
  <si>
    <t>AVERAGE</t>
  </si>
  <si>
    <t>MAX</t>
  </si>
  <si>
    <t>MIN</t>
  </si>
  <si>
    <t>COUNT</t>
  </si>
  <si>
    <t>COUNTA</t>
  </si>
  <si>
    <t>Text Functions</t>
  </si>
  <si>
    <t>LEFT</t>
  </si>
  <si>
    <t>MID</t>
  </si>
  <si>
    <t>RIGHT</t>
  </si>
  <si>
    <t>FIND</t>
  </si>
  <si>
    <t>LEN</t>
  </si>
  <si>
    <t>Part Number</t>
  </si>
  <si>
    <t>Type</t>
  </si>
  <si>
    <t>Department</t>
  </si>
  <si>
    <t>Cost</t>
  </si>
  <si>
    <t>Quantity</t>
  </si>
  <si>
    <t>Total Value</t>
  </si>
  <si>
    <t>RT</t>
  </si>
  <si>
    <t>Dept 2</t>
  </si>
  <si>
    <t>AC</t>
  </si>
  <si>
    <t>Dept 5</t>
  </si>
  <si>
    <t>AB</t>
  </si>
  <si>
    <t>Dept 4</t>
  </si>
  <si>
    <t>DE</t>
  </si>
  <si>
    <t>DB</t>
  </si>
  <si>
    <t>Dept 1</t>
  </si>
  <si>
    <t>Dept 3</t>
  </si>
  <si>
    <t>Returns the average (arithmetic mean) of the arguments.</t>
  </si>
  <si>
    <t>AVERAGE(number1, number2,...)</t>
  </si>
  <si>
    <t>Syntax</t>
  </si>
  <si>
    <t>Sample Formula</t>
  </si>
  <si>
    <t>Sample Result</t>
  </si>
  <si>
    <t>Returns the largest value in a set of values.</t>
  </si>
  <si>
    <t>MAX(number1,number2,...)</t>
  </si>
  <si>
    <t>Returns the smallest number in a set of values.</t>
  </si>
  <si>
    <t>MIN(number1,number2,...)</t>
  </si>
  <si>
    <t>Counts the number of cells that contain numbers</t>
  </si>
  <si>
    <t>COUNT(value1, value2,...)</t>
  </si>
  <si>
    <t>Counts the number of cells that are not empty.</t>
  </si>
  <si>
    <t>COUNTA(value1, value2,...)</t>
  </si>
  <si>
    <t>Count the values in a range that meet specified criteria.</t>
  </si>
  <si>
    <t>Sum the values in a range that meet specified criteria.</t>
  </si>
  <si>
    <t>Average the values in a range that meet specified criteria.</t>
  </si>
  <si>
    <t>COUNTIF(range, criteria)</t>
  </si>
  <si>
    <t>SUMIF(range, criteria, sum range)</t>
  </si>
  <si>
    <t>Locate text within a text entry and returns the number of the starting position of the text within that entry.</t>
  </si>
  <si>
    <t>Returns the number of leftmost characters specified.</t>
  </si>
  <si>
    <t>President George Washington, United States of America</t>
  </si>
  <si>
    <t>Returns the number of characters in a text entry.</t>
  </si>
  <si>
    <t>LEN(text)</t>
  </si>
  <si>
    <t>MID(text, start num, num chars)</t>
  </si>
  <si>
    <t>LEFT(text, num chars)</t>
  </si>
  <si>
    <t>FIND(find text ,within text, start with num)</t>
  </si>
  <si>
    <t>Returns the specified number of characters from a text entry, beginning with the specified character number.</t>
  </si>
  <si>
    <t>Returns the number of rightmost characters specified.</t>
  </si>
  <si>
    <t>RIGHT(text, num chars)</t>
  </si>
  <si>
    <t>=AVERAGE(I4:I43)</t>
  </si>
  <si>
    <t>=MAX(J4:J43)</t>
  </si>
  <si>
    <t>=COUNT(J4:J43)</t>
  </si>
  <si>
    <t>=COUNTA(G4:G43)</t>
  </si>
  <si>
    <t>=SUMIF(H4:K43,"Dept 1",K4:K43)</t>
  </si>
  <si>
    <t>=COUNTIF(G4:G43,"RT")</t>
  </si>
  <si>
    <t>=AVERAGEIF(G4:K43,"RT",I4:I43)</t>
  </si>
  <si>
    <t>I think that I will never see, a poem as lovely as a tree.</t>
  </si>
  <si>
    <t>USS Enterprise, Starfleet Command</t>
  </si>
  <si>
    <t>The lookup table can be on a different worksheet or even a separate workbook.  This example is returning information from the Lookup Tables worksheet to offer an example of a</t>
  </si>
  <si>
    <t>Statistical Functions</t>
  </si>
  <si>
    <t>=MIN(I4:I43)</t>
  </si>
  <si>
    <t>entered.  If so, it looks up the item number in the table.  If not, it makes the cell look blank by entering "" (zero length string).</t>
  </si>
  <si>
    <t>AVERAGEIF(range, criteria, average range)</t>
  </si>
  <si>
    <t>TIME(hour, minute, second)</t>
  </si>
  <si>
    <t>practical use for lookup functions.</t>
  </si>
  <si>
    <t>is the date 3 months after today's date.</t>
  </si>
  <si>
    <t>EDATE(start date, months)</t>
  </si>
  <si>
    <t>EOMONTH(start date, months)</t>
  </si>
  <si>
    <t>NETWORKDAYS(start date, end date, holidays)</t>
  </si>
  <si>
    <t>WORKDAY(start date, days, holidays)</t>
  </si>
  <si>
    <t>Syntax: PMT(rate, nper, pv, fv, type)</t>
  </si>
  <si>
    <t>To see the Customer Name and Address information change, enter a Customer ID from the following  in cell B8:</t>
  </si>
  <si>
    <t>Average</t>
  </si>
  <si>
    <t>Grade</t>
  </si>
  <si>
    <t>Score</t>
  </si>
  <si>
    <r>
      <t>f</t>
    </r>
    <r>
      <rPr>
        <b/>
        <i/>
        <vertAlign val="subscript"/>
        <sz val="18"/>
        <color indexed="56"/>
        <rFont val="Cambria"/>
        <family val="1"/>
      </rPr>
      <t>x</t>
    </r>
  </si>
  <si>
    <t>The insert function button on the formula bar opens the Insert Function dialog box. Type in</t>
  </si>
  <si>
    <t>what you want to do and click Go or hit Enter and Excel will give you a list of possible</t>
  </si>
  <si>
    <t>functions. In the sample dialog box to the right, I searched for a function to find data in a</t>
  </si>
  <si>
    <t>table. Excel returned four possibilities.  Click the function name to see the function syntax</t>
  </si>
  <si>
    <t>link to see more information and samples of the function at work.</t>
  </si>
  <si>
    <t>When you click OK, Excel will open the Functions Argument dialog box for the selected</t>
  </si>
  <si>
    <t>function to help you enter the function arguments correctly.  As you move the insertion</t>
  </si>
  <si>
    <t>point through the arguments, Excel will give a description of what is expected.  You also have</t>
  </si>
  <si>
    <t>Argument labels in bold text are required arguments.  Once you have entered all required</t>
  </si>
  <si>
    <t>arguments, click OK and the function is entered in your worksheet.</t>
  </si>
  <si>
    <r>
      <t xml:space="preserve">and a brief description. If you're not sure what all that means, click the </t>
    </r>
    <r>
      <rPr>
        <u/>
        <sz val="11"/>
        <color indexed="8"/>
        <rFont val="Calibri"/>
        <family val="2"/>
      </rPr>
      <t>Help on this function</t>
    </r>
  </si>
  <si>
    <r>
      <t xml:space="preserve">the opportunity to click for more </t>
    </r>
    <r>
      <rPr>
        <u/>
        <sz val="11"/>
        <color indexed="8"/>
        <rFont val="Calibri"/>
        <family val="2"/>
      </rPr>
      <t>Help on this function</t>
    </r>
    <r>
      <rPr>
        <sz val="11"/>
        <color theme="1"/>
        <rFont val="Calibri"/>
        <family val="2"/>
        <scheme val="minor"/>
      </rPr>
      <t>.</t>
    </r>
  </si>
  <si>
    <t>Selecting a cell that contains a function and then clicking the</t>
  </si>
  <si>
    <t>Insert Function button will open the Function Arguments</t>
  </si>
  <si>
    <t>dialog box for that function.</t>
  </si>
  <si>
    <t>Insert Function Button</t>
  </si>
  <si>
    <t>Formula in B10:  =-PMT(B12/B14,B15,B11)</t>
  </si>
  <si>
    <t>periods for the life of the loan.  The pv argument is the amount of the loan. Because this loan will be paid down to zero</t>
  </si>
  <si>
    <t>Formula in B18:  =-PMT(B20/B22,B23,B19,B24)</t>
  </si>
  <si>
    <t>Formula in B27:  =-PMT(B29/B31,B32,0,B28)</t>
  </si>
  <si>
    <t>Formula in B35:  =-PMT(((1+(B37/2))^2)^(1/12)-1,B40,B36)</t>
  </si>
  <si>
    <r>
      <t>Explained - Select B10 and click [</t>
    </r>
    <r>
      <rPr>
        <b/>
        <i/>
        <sz val="15"/>
        <color indexed="56"/>
        <rFont val="Calibri"/>
        <family val="2"/>
      </rPr>
      <t>fx</t>
    </r>
    <r>
      <rPr>
        <b/>
        <sz val="15"/>
        <color indexed="56"/>
        <rFont val="Calibri"/>
        <family val="2"/>
      </rPr>
      <t>]</t>
    </r>
  </si>
  <si>
    <r>
      <t>Explained - Select B18 and click [</t>
    </r>
    <r>
      <rPr>
        <b/>
        <i/>
        <sz val="15"/>
        <color indexed="56"/>
        <rFont val="Calibri"/>
        <family val="2"/>
      </rPr>
      <t>fx</t>
    </r>
    <r>
      <rPr>
        <b/>
        <sz val="15"/>
        <color indexed="56"/>
        <rFont val="Calibri"/>
        <family val="2"/>
      </rPr>
      <t>]</t>
    </r>
  </si>
  <si>
    <r>
      <t>Explained - Select B27 and click [</t>
    </r>
    <r>
      <rPr>
        <b/>
        <i/>
        <sz val="15"/>
        <color indexed="56"/>
        <rFont val="Calibri"/>
        <family val="2"/>
      </rPr>
      <t>fx</t>
    </r>
    <r>
      <rPr>
        <b/>
        <sz val="15"/>
        <color indexed="56"/>
        <rFont val="Calibri"/>
        <family val="2"/>
      </rPr>
      <t>]</t>
    </r>
  </si>
  <si>
    <r>
      <t>Explained - Select B35 and click [</t>
    </r>
    <r>
      <rPr>
        <b/>
        <i/>
        <sz val="15"/>
        <color indexed="56"/>
        <rFont val="Calibri"/>
        <family val="2"/>
      </rPr>
      <t>fx</t>
    </r>
    <r>
      <rPr>
        <b/>
        <sz val="15"/>
        <color indexed="56"/>
        <rFont val="Calibri"/>
        <family val="2"/>
      </rPr>
      <t>]</t>
    </r>
  </si>
  <si>
    <t>(A23 contains sample text for text functions)</t>
  </si>
  <si>
    <t>=FIND(",",A23)</t>
  </si>
  <si>
    <t>=LEFT(A23,9)</t>
  </si>
  <si>
    <t>=LEN(A23)</t>
  </si>
  <si>
    <t>=MID(A23,18,10)</t>
  </si>
  <si>
    <t>=RIGHT(A23,7)</t>
  </si>
  <si>
    <t xml:space="preserve">Use the text functions together to work with variable text lengths in a column.  This formula will always return </t>
  </si>
  <si>
    <t>the text following a comma/space in a text entry:</t>
  </si>
  <si>
    <t>=RIGHT(A38,(LEN(A38)-FIND(",",A38)-1))</t>
  </si>
  <si>
    <t>Using the first example above, it works by taking the length of the text (53) and subtracting the number of</t>
  </si>
  <si>
    <t>characters up to the comma (28) and an extra 1 for the space, and then returning that number (24) of characters</t>
  </si>
  <si>
    <t>from the right end of the text.</t>
  </si>
  <si>
    <t>SUMIFS</t>
  </si>
  <si>
    <t>Adds the cells in a range that meet multiple criteria.</t>
  </si>
  <si>
    <t>COUNTIFS</t>
  </si>
  <si>
    <t>Applies criteria to cells across multiple ranges and counts the number of times all criteria are met.</t>
  </si>
  <si>
    <t>AVERAGEIFS</t>
  </si>
  <si>
    <t>Returns the average (arithmetic mean) of all cells that meet multiple criteria.</t>
  </si>
  <si>
    <t>New 2007 Functions</t>
  </si>
  <si>
    <t>IFERROR</t>
  </si>
  <si>
    <t>Returns a value you specify if a formula evaluates to an error; otherwise, returns the result of the formula.</t>
  </si>
  <si>
    <t>Enter Part Number:</t>
  </si>
  <si>
    <t>Type:</t>
  </si>
  <si>
    <t>Department:</t>
  </si>
  <si>
    <t>Cost:</t>
  </si>
  <si>
    <t>Quantity:</t>
  </si>
  <si>
    <t>Vlookup function with valid data:</t>
  </si>
  <si>
    <t>Vlookup function with invalid data:</t>
  </si>
  <si>
    <t>Formula in I39:  =IFERROR(VLOOKUP(I37,A16:F42,2), "Invalid Part #")</t>
  </si>
  <si>
    <t>Formula in I40: =IF(I39= "Invalid Part #","",VLOOKUP(I37,A16:F42,3))</t>
  </si>
  <si>
    <t>=SUMIFS(F16:F55,B16:B55,"RT",C16:C55,"Dept 2")</t>
  </si>
  <si>
    <t>=COUNTIFS(B16:B55,"RT",C16:C55,"Dept 2")</t>
  </si>
  <si>
    <t>=AVERAGEIF(B16:F55,"RT",D16:D55)</t>
  </si>
  <si>
    <t>=AVERAGEIFS(F16:F55,B16:B55,"RT",C16:C55,"Dept 2")</t>
  </si>
  <si>
    <t>See below</t>
  </si>
  <si>
    <t>You must have Excel 2007 to use these functions.</t>
  </si>
  <si>
    <t>COUNTIFS(criteria range1, criteria1, criteria range2, criteria2…)</t>
  </si>
  <si>
    <t>SUMIFS(sum range, criteria range1, criteria1, criteria range2, criteria2, …)</t>
  </si>
  <si>
    <t>AVERAGEIFS(average range, criteria range1, criteria1, criteria range2, criteria2…)</t>
  </si>
  <si>
    <t>IFERROR(value, value if error)</t>
  </si>
  <si>
    <t>Dates in Excel are actually stored as values, making it easy to do calculations with dates when all you're doing is adding or subtracting number of days.  For the other things you</t>
  </si>
  <si>
    <t>might want to do with dates, there are a variety of functions available to help. Here are a few you might find useful.</t>
  </si>
  <si>
    <t>Rate is the interest rate per period for the loan.  Nper is the total number of payments. Pv is the present value or principal. Fv is the future value and is assumed to be zero if</t>
  </si>
  <si>
    <t>omitted. Type indicates when payments are due. Omitted or zero if payments are made at the end of the period, 1 if at the beginning.</t>
  </si>
  <si>
    <t>The negative following the equal sign is used to negate the functions normal negative value so that the payment</t>
  </si>
  <si>
    <t>displays as a positive number. Because the rate argument requires the interest rate for the period, divide the annual</t>
  </si>
  <si>
    <t>rate by the number of periods per year, so the rate argument is B12/B14.  The nper argument is B15, the total number of</t>
  </si>
  <si>
    <t>Rate, nper, and pv are as above, but because this loan has a lump sum payment due at the end of the loan, we have</t>
  </si>
  <si>
    <t>added the fv argument to contain that value.</t>
  </si>
  <si>
    <t>If a lookup value is not found, vlookup returns the #N/A error. For cases when</t>
  </si>
  <si>
    <t>this is not acceptable, IFERROR allows you to set an alternate value.</t>
  </si>
  <si>
    <t>Vlookup nested in Iferror:</t>
  </si>
  <si>
    <t>Row num is the row index number from which to return matching data.</t>
  </si>
  <si>
    <t>Approximate Match
Functions in Col B:</t>
  </si>
  <si>
    <t>Range lookup is a logical value: TRUE (or 1) or omitted for an approximate match or FALSE (or 0) for an exact match.  If True the values in the first row must appear in ascending order.</t>
  </si>
  <si>
    <t>Col num is the column index number from which to return data.</t>
  </si>
  <si>
    <t>Range lookup is a logical value: TRUE (or 1) or omitted for an approximate match or FALSE (or 0) for an exact match.  If True the values in the first column must appear in ascending order.</t>
  </si>
  <si>
    <t>DAVERAGE</t>
  </si>
  <si>
    <t>Returns the average of selected database entries</t>
  </si>
  <si>
    <t>DCOUNT</t>
  </si>
  <si>
    <t>Counts the cells that contain numbers in a database</t>
  </si>
  <si>
    <t>DCOUNTA</t>
  </si>
  <si>
    <t>Counts nonblank cells in a database</t>
  </si>
  <si>
    <t>DGET</t>
  </si>
  <si>
    <t>Extracts from a database a single record that matches the specified criteria</t>
  </si>
  <si>
    <t>DMAX</t>
  </si>
  <si>
    <t>Returns the maximum value from selected database entries</t>
  </si>
  <si>
    <t>DMIN</t>
  </si>
  <si>
    <t>Returns the minimum value from selected database entries</t>
  </si>
  <si>
    <t>DPRODUCT</t>
  </si>
  <si>
    <t>Multiplies the values in a particular field of records that match the criteria in a database</t>
  </si>
  <si>
    <t>DSUM</t>
  </si>
  <si>
    <t>Adds the numbers in the field column of records in the database that match the criteria</t>
  </si>
  <si>
    <t>Date and Time Functions</t>
  </si>
  <si>
    <t>DATE</t>
  </si>
  <si>
    <t>Returns the serial number of a particular date</t>
  </si>
  <si>
    <t>DATEVALUE</t>
  </si>
  <si>
    <t>Converts a date in the form of text to a serial number</t>
  </si>
  <si>
    <t>Converts a serial number to a day of the month</t>
  </si>
  <si>
    <t>DAYS360</t>
  </si>
  <si>
    <t>Calculates the number of days between two dates based on a 360-day year</t>
  </si>
  <si>
    <t>Returns the serial number of the date that is the indicated number of months before or after the start date</t>
  </si>
  <si>
    <t>Returns the serial number of the last day of the month before or after a specified number of months</t>
  </si>
  <si>
    <t>Converts a serial number to a month</t>
  </si>
  <si>
    <t>Returns the serial number of the current date and time</t>
  </si>
  <si>
    <t>Returns the serial number of today's date</t>
  </si>
  <si>
    <t>WEEKDAY</t>
  </si>
  <si>
    <t>Converts a serial number to a day of the week</t>
  </si>
  <si>
    <t>WEEKNUM</t>
  </si>
  <si>
    <t>Converts a serial number to a number representing where the week falls numerically with a year</t>
  </si>
  <si>
    <t>Returns the serial number of the date before or after a specified number of workdays</t>
  </si>
  <si>
    <t>Converts a serial number to a year</t>
  </si>
  <si>
    <t>Financial Functions</t>
  </si>
  <si>
    <t>DDB</t>
  </si>
  <si>
    <t>Returns the depreciation of an asset for a specified period by using the double-declining balance method or some other method that you specify</t>
  </si>
  <si>
    <t>DISC</t>
  </si>
  <si>
    <t>Returns the discount rate for a security</t>
  </si>
  <si>
    <t>FV</t>
  </si>
  <si>
    <t>Returns the future value of an investment</t>
  </si>
  <si>
    <t>Returns the periodic payment for an annuity</t>
  </si>
  <si>
    <t>PV</t>
  </si>
  <si>
    <t>Returns the present value of an investment</t>
  </si>
  <si>
    <t>SLN</t>
  </si>
  <si>
    <t>Returns the straight-line depreciation of an asset for one period</t>
  </si>
  <si>
    <t>SYD</t>
  </si>
  <si>
    <t>Returns the sum-of-years' digits depreciation of an asset for a specified period</t>
  </si>
  <si>
    <t>Information Functions</t>
  </si>
  <si>
    <t>CELL</t>
  </si>
  <si>
    <t>Returns information about the formatting, location, or contents of a cell</t>
  </si>
  <si>
    <t>ERROR.TYPE</t>
  </si>
  <si>
    <t>Returns a number corresponding to an error type</t>
  </si>
  <si>
    <t>INFO</t>
  </si>
  <si>
    <t>Returns information about the current operating environment</t>
  </si>
  <si>
    <t>ISBLANK</t>
  </si>
  <si>
    <t>Returns TRUE if the value is blank</t>
  </si>
  <si>
    <t>ISERR</t>
  </si>
  <si>
    <t>Returns TRUE if the value is any error value except #N/A</t>
  </si>
  <si>
    <t>ISERROR</t>
  </si>
  <si>
    <t>Returns TRUE if the value is any error value</t>
  </si>
  <si>
    <t>ISNA</t>
  </si>
  <si>
    <t>Returns TRUE if the value is the #N/A error value</t>
  </si>
  <si>
    <t>ISNUMBER</t>
  </si>
  <si>
    <t>Returns TRUE if the value is a number</t>
  </si>
  <si>
    <t>ISREF</t>
  </si>
  <si>
    <t>Returns TRUE if the value is a reference</t>
  </si>
  <si>
    <t>ISTEXT</t>
  </si>
  <si>
    <t>Returns TRUE if the value is text</t>
  </si>
  <si>
    <t>Logical Functions</t>
  </si>
  <si>
    <t>AND</t>
  </si>
  <si>
    <t>Returns TRUE if all of its arguments are TRUE</t>
  </si>
  <si>
    <t>Returns the logical value FALSE</t>
  </si>
  <si>
    <t>Specifies a logical test to perform</t>
  </si>
  <si>
    <t>NOT</t>
  </si>
  <si>
    <t>Reverses the logic of its argument</t>
  </si>
  <si>
    <t>OR</t>
  </si>
  <si>
    <t>Returns TRUE if any argument is TRUE</t>
  </si>
  <si>
    <t>Returns the logical value TRUE</t>
  </si>
  <si>
    <t>Lookup and Reference Functions</t>
  </si>
  <si>
    <t>CHOOSE</t>
  </si>
  <si>
    <t>Chooses a value from a list of values</t>
  </si>
  <si>
    <t>GETPIVOTDATA</t>
  </si>
  <si>
    <t>Returns data stored in a PivotTable</t>
  </si>
  <si>
    <t>Looks in the top row of an array and returns the value of the indicated cell</t>
  </si>
  <si>
    <t>HYPERLINK</t>
  </si>
  <si>
    <t>Creates a shortcut or jump that opens a document stored on a network server, an intranet, or the Internet</t>
  </si>
  <si>
    <t>INDEX</t>
  </si>
  <si>
    <t>Uses an index to choose a value from a reference or array</t>
  </si>
  <si>
    <t>LOOKUP</t>
  </si>
  <si>
    <t>Looks up values in a vector or array</t>
  </si>
  <si>
    <t>TRANSPOSE</t>
  </si>
  <si>
    <t>Returns the transpose of an array</t>
  </si>
  <si>
    <t>Looks in the first column of an array and moves across the row to return the value of a cell</t>
  </si>
  <si>
    <t>Math and Trigonometry Functions</t>
  </si>
  <si>
    <t>RAND</t>
  </si>
  <si>
    <t>Returns a random number between 0 and 1</t>
  </si>
  <si>
    <t>RANDBETWEEN</t>
  </si>
  <si>
    <t>Returns a random number between the numbers you specify</t>
  </si>
  <si>
    <t>ROUND</t>
  </si>
  <si>
    <t>Rounds a number to a specified number of digits</t>
  </si>
  <si>
    <t>ROUNDDOWN</t>
  </si>
  <si>
    <t>Rounds a number down, toward zero</t>
  </si>
  <si>
    <t>ROUNDUP</t>
  </si>
  <si>
    <t>Rounds a number up, away from zero</t>
  </si>
  <si>
    <t>SIGN</t>
  </si>
  <si>
    <t>Returns the sign of a number</t>
  </si>
  <si>
    <t>SUBTOTAL</t>
  </si>
  <si>
    <t>Returns a subtotal in a list or database</t>
  </si>
  <si>
    <t>SUM</t>
  </si>
  <si>
    <t>Adds its arguments</t>
  </si>
  <si>
    <t>Adds the cells specified by a given criteria</t>
  </si>
  <si>
    <t>Returns the average of its arguments</t>
  </si>
  <si>
    <t>Counts how many numbers are in the list of arguments</t>
  </si>
  <si>
    <t>Counts how many values are in the list of arguments</t>
  </si>
  <si>
    <t>COUNTBLANK</t>
  </si>
  <si>
    <t>Counts the number of blank cells within a range</t>
  </si>
  <si>
    <t>Counts the number of nonblank cells within a range that meet the given criteria</t>
  </si>
  <si>
    <t>Returns the maximum value in a list of arguments</t>
  </si>
  <si>
    <t>Returns the minimum value in a list of arguments</t>
  </si>
  <si>
    <t>RANK</t>
  </si>
  <si>
    <t>Returns the rank of a number in a list of numbers</t>
  </si>
  <si>
    <t>CLEAN</t>
  </si>
  <si>
    <t>Removes all nonprintable characters from text</t>
  </si>
  <si>
    <t>CONCATENATE</t>
  </si>
  <si>
    <t>Joins several text items into one text item</t>
  </si>
  <si>
    <t>FIND, FINDB</t>
  </si>
  <si>
    <t>Finds one text value within another (case-sensitive)</t>
  </si>
  <si>
    <t>LEFT, LEFTB</t>
  </si>
  <si>
    <t>Returns the leftmost characters from a text value</t>
  </si>
  <si>
    <t>LEN, LENB</t>
  </si>
  <si>
    <t>Returns the number of characters in a text string</t>
  </si>
  <si>
    <t>LOWER</t>
  </si>
  <si>
    <t>Converts text to lowercase</t>
  </si>
  <si>
    <t>MID, MIDB</t>
  </si>
  <si>
    <t>Returns a specific number of characters from a text string starting at the position you specify</t>
  </si>
  <si>
    <t>PROPER</t>
  </si>
  <si>
    <t>Capitalizes the first letter in each word of a text value</t>
  </si>
  <si>
    <t>REPLACE, REPLACEB</t>
  </si>
  <si>
    <t>Replaces characters within text</t>
  </si>
  <si>
    <t>REPT</t>
  </si>
  <si>
    <t>Repeats text a given number of times</t>
  </si>
  <si>
    <t>RIGHT, RIGHTB</t>
  </si>
  <si>
    <t>Returns the rightmost characters from a text value</t>
  </si>
  <si>
    <t>SEARCH, SEARCHB</t>
  </si>
  <si>
    <t>Finds one text value within another (not case-sensitive)</t>
  </si>
  <si>
    <t>SUBSTITUTE</t>
  </si>
  <si>
    <t>Substitutes new text for old text in a text string</t>
  </si>
  <si>
    <t>TEXT</t>
  </si>
  <si>
    <t>Formats a number and converts it to text</t>
  </si>
  <si>
    <t>TRIM</t>
  </si>
  <si>
    <t>Removes spaces from text</t>
  </si>
  <si>
    <t>UPPER</t>
  </si>
  <si>
    <t>Converts text to uppercase</t>
  </si>
  <si>
    <t>VALUE</t>
  </si>
  <si>
    <t>Converts a text argument to a number</t>
  </si>
  <si>
    <t>Travel Expense</t>
  </si>
  <si>
    <t>Budget</t>
  </si>
  <si>
    <t>Actual</t>
  </si>
  <si>
    <t>IF Example - A Little More Complex:</t>
  </si>
  <si>
    <t>IF Example - Simple:</t>
  </si>
  <si>
    <t>AUTOMOBILE EXPENSE</t>
  </si>
  <si>
    <t>BANK SERVICE CHARGES</t>
  </si>
  <si>
    <t>CONFERENCE REGISTRATION FEES</t>
  </si>
  <si>
    <t>CONTRACT LABOR</t>
  </si>
  <si>
    <t>CONTRIBUTIONS</t>
  </si>
  <si>
    <t>DUES AND SUBSCRIPTIONS</t>
  </si>
  <si>
    <t>EQUIPMENT PURCHASE</t>
  </si>
  <si>
    <t>EQUIPMENT RENTAL</t>
  </si>
  <si>
    <t>HARDWARE PURCHASE</t>
  </si>
  <si>
    <t>INSURANCE</t>
  </si>
  <si>
    <t>MARKETING GIVEAWAYS</t>
  </si>
  <si>
    <t>MEMBERSHIPS</t>
  </si>
  <si>
    <t>MISCELLANEOUS</t>
  </si>
  <si>
    <t>OFFICE SUPPLIES</t>
  </si>
  <si>
    <t>ONLINE COMPUTER SERVICES</t>
  </si>
  <si>
    <t>OUTSIDE SERVICES</t>
  </si>
  <si>
    <t>PARTNER SALARY DRAW</t>
  </si>
  <si>
    <t>PAYROLL EXPENSES</t>
  </si>
  <si>
    <t>IF Example - A Slightly Larger Example:</t>
  </si>
  <si>
    <t>Exam Score</t>
  </si>
  <si>
    <t>Robyn Pertosky</t>
  </si>
  <si>
    <t>Letter Grade</t>
  </si>
  <si>
    <t>Kathy Doveworth</t>
  </si>
  <si>
    <t>Brenda Sardowsky</t>
  </si>
  <si>
    <t>Drew Laverless</t>
  </si>
  <si>
    <t>Kurt Fanning</t>
  </si>
  <si>
    <t>David Fullerton</t>
  </si>
  <si>
    <t>Grahma Hatsford</t>
  </si>
  <si>
    <t>Tax Rate</t>
  </si>
  <si>
    <t>If Example - 2009 IRS Tax Rate Schedules:</t>
  </si>
  <si>
    <t>Low</t>
  </si>
  <si>
    <t>High</t>
  </si>
  <si>
    <t>Taxable Income</t>
  </si>
  <si>
    <t>Tax Base</t>
  </si>
  <si>
    <t>Threshold</t>
  </si>
  <si>
    <t>Incremental Rate</t>
  </si>
  <si>
    <t>Taxpayer Status</t>
  </si>
  <si>
    <t>Tax</t>
  </si>
  <si>
    <t>A. Single</t>
  </si>
  <si>
    <t>B. Married/Widower</t>
  </si>
  <si>
    <t>C. Married - Sep</t>
  </si>
  <si>
    <t>D. Head /Household</t>
  </si>
  <si>
    <t>D. Head/Household</t>
  </si>
  <si>
    <t>Simpleton, Fred</t>
  </si>
  <si>
    <t>Norris, Carnie</t>
  </si>
  <si>
    <t>Hall, Nancy</t>
  </si>
  <si>
    <t>Wells, Diane</t>
  </si>
  <si>
    <t>Thomas, Doug</t>
  </si>
  <si>
    <t>Insurance?</t>
  </si>
  <si>
    <t>If Function with Drop Down Example</t>
  </si>
  <si>
    <t>Hire Date</t>
  </si>
  <si>
    <t>If Function with Calculations</t>
  </si>
  <si>
    <t>Vacation Days Earned</t>
  </si>
  <si>
    <t>If Function - Nested Example</t>
  </si>
  <si>
    <t>A. No Bonus</t>
  </si>
  <si>
    <t>B. Basic Bonus</t>
  </si>
  <si>
    <t>C. High Performance Bonus</t>
  </si>
  <si>
    <t>D. Super Bonus</t>
  </si>
  <si>
    <t>Bonus Level</t>
  </si>
  <si>
    <t>In this sample, there are four possibilities for bonuses.</t>
  </si>
</sst>
</file>

<file path=xl/styles.xml><?xml version="1.0" encoding="utf-8"?>
<styleSheet xmlns="http://schemas.openxmlformats.org/spreadsheetml/2006/main">
  <numFmts count="7">
    <numFmt numFmtId="6" formatCode="&quot;$&quot;#,##0_);[Red]\(&quot;$&quot;#,##0\)"/>
    <numFmt numFmtId="8" formatCode="&quot;$&quot;#,##0.00_);[Red]\(&quot;$&quot;#,##0.00\)"/>
    <numFmt numFmtId="41" formatCode="_(* #,##0_);_(* \(#,##0\);_(* &quot;-&quot;_);_(@_)"/>
    <numFmt numFmtId="43" formatCode="_(* #,##0.00_);_(* \(#,##0.00\);_(* &quot;-&quot;??_);_(@_)"/>
    <numFmt numFmtId="164" formatCode="_(* #,##0_);_(* \(#,##0\);_(* &quot;-&quot;??_);_(@_)"/>
    <numFmt numFmtId="165" formatCode="[h]:mm;@"/>
    <numFmt numFmtId="166" formatCode="&quot;$&quot;#,##0.00"/>
  </numFmts>
  <fonts count="29">
    <font>
      <sz val="11"/>
      <color theme="1"/>
      <name val="Calibri"/>
      <family val="2"/>
      <scheme val="minor"/>
    </font>
    <font>
      <sz val="11"/>
      <color indexed="8"/>
      <name val="Calibri"/>
      <family val="2"/>
    </font>
    <font>
      <sz val="11"/>
      <color indexed="8"/>
      <name val="Calibri"/>
      <family val="2"/>
    </font>
    <font>
      <b/>
      <sz val="15"/>
      <color indexed="56"/>
      <name val="Calibri"/>
      <family val="2"/>
    </font>
    <font>
      <sz val="11"/>
      <name val="Calibri"/>
      <family val="2"/>
    </font>
    <font>
      <b/>
      <sz val="11"/>
      <color indexed="8"/>
      <name val="Calibri"/>
      <family val="2"/>
    </font>
    <font>
      <b/>
      <i/>
      <sz val="18"/>
      <color indexed="56"/>
      <name val="Cambria"/>
      <family val="1"/>
    </font>
    <font>
      <b/>
      <i/>
      <vertAlign val="subscript"/>
      <sz val="18"/>
      <color indexed="56"/>
      <name val="Cambria"/>
      <family val="1"/>
    </font>
    <font>
      <u/>
      <sz val="11"/>
      <color indexed="8"/>
      <name val="Calibri"/>
      <family val="2"/>
    </font>
    <font>
      <b/>
      <i/>
      <sz val="15"/>
      <color indexed="56"/>
      <name val="Calibri"/>
      <family val="2"/>
    </font>
    <font>
      <sz val="11"/>
      <name val="Calibri"/>
      <family val="2"/>
    </font>
    <font>
      <b/>
      <sz val="9"/>
      <color indexed="81"/>
      <name val="Tahoma"/>
      <family val="2"/>
    </font>
    <font>
      <sz val="9"/>
      <color indexed="81"/>
      <name val="Tahoma"/>
      <family val="2"/>
    </font>
    <font>
      <sz val="8"/>
      <color indexed="8"/>
      <name val="Calibri"/>
      <family val="2"/>
    </font>
    <font>
      <sz val="11"/>
      <color theme="1"/>
      <name val="Calibri"/>
      <family val="2"/>
      <scheme val="minor"/>
    </font>
    <font>
      <sz val="11"/>
      <color theme="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8"/>
      <color theme="3"/>
      <name val="Cambria"/>
      <family val="2"/>
      <scheme val="major"/>
    </font>
    <font>
      <b/>
      <sz val="11"/>
      <color theme="1"/>
      <name val="Calibri"/>
      <family val="2"/>
      <scheme val="minor"/>
    </font>
    <font>
      <sz val="10"/>
      <color theme="1"/>
      <name val="Calibri"/>
      <family val="2"/>
      <scheme val="minor"/>
    </font>
    <font>
      <b/>
      <sz val="16"/>
      <color theme="1"/>
      <name val="Calibri"/>
      <family val="2"/>
      <scheme val="minor"/>
    </font>
    <font>
      <b/>
      <sz val="18"/>
      <color theme="1"/>
      <name val="Calibri"/>
      <family val="2"/>
      <scheme val="minor"/>
    </font>
    <font>
      <u/>
      <sz val="11"/>
      <color theme="10"/>
      <name val="Calibri"/>
      <family val="2"/>
    </font>
    <font>
      <b/>
      <sz val="12"/>
      <color theme="1"/>
      <name val="Calibri"/>
      <family val="2"/>
      <scheme val="minor"/>
    </font>
    <font>
      <b/>
      <sz val="15"/>
      <name val="Calibri"/>
      <family val="2"/>
      <scheme val="minor"/>
    </font>
    <font>
      <sz val="11"/>
      <name val="Calibri"/>
      <family val="2"/>
      <scheme val="minor"/>
    </font>
    <font>
      <b/>
      <sz val="11"/>
      <name val="Calibri"/>
      <family val="2"/>
      <scheme val="minor"/>
    </font>
  </fonts>
  <fills count="14">
    <fill>
      <patternFill patternType="none"/>
    </fill>
    <fill>
      <patternFill patternType="gray125"/>
    </fill>
    <fill>
      <patternFill patternType="solid">
        <fgColor indexed="31"/>
      </patternFill>
    </fill>
    <fill>
      <patternFill patternType="solid">
        <fgColor indexed="9"/>
        <bgColor indexed="64"/>
      </patternFill>
    </fill>
    <fill>
      <patternFill patternType="solid">
        <fgColor indexed="56"/>
        <bgColor indexed="64"/>
      </patternFill>
    </fill>
    <fill>
      <patternFill patternType="solid">
        <fgColor theme="4" tint="0.79998168889431442"/>
        <bgColor indexed="65"/>
      </patternFill>
    </fill>
    <fill>
      <patternFill patternType="solid">
        <fgColor theme="9" tint="0.79998168889431442"/>
        <bgColor indexed="65"/>
      </patternFill>
    </fill>
    <fill>
      <patternFill patternType="solid">
        <fgColor theme="4"/>
      </patternFill>
    </fill>
    <fill>
      <patternFill patternType="solid">
        <fgColor rgb="FF6B82B2"/>
        <bgColor indexed="64"/>
      </patternFill>
    </fill>
    <fill>
      <patternFill patternType="solid">
        <fgColor rgb="FFFFFFCC"/>
        <bgColor indexed="64"/>
      </patternFill>
    </fill>
    <fill>
      <patternFill patternType="solid">
        <fgColor rgb="FFCCECFF"/>
        <bgColor indexed="64"/>
      </patternFill>
    </fill>
    <fill>
      <patternFill patternType="solid">
        <fgColor rgb="FFFFCCCC"/>
        <bgColor indexed="64"/>
      </patternFill>
    </fill>
    <fill>
      <patternFill patternType="solid">
        <fgColor rgb="FFCCFFFF"/>
        <bgColor indexed="64"/>
      </patternFill>
    </fill>
    <fill>
      <patternFill patternType="solid">
        <fgColor theme="0"/>
        <bgColor indexed="64"/>
      </patternFill>
    </fill>
  </fills>
  <borders count="22">
    <border>
      <left/>
      <right/>
      <top/>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style="medium">
        <color indexed="30"/>
      </top>
      <bottom/>
      <diagonal/>
    </border>
    <border>
      <left/>
      <right style="thick">
        <color indexed="56"/>
      </right>
      <top/>
      <bottom/>
      <diagonal/>
    </border>
    <border>
      <left style="thin">
        <color indexed="56"/>
      </left>
      <right style="thin">
        <color indexed="56"/>
      </right>
      <top style="thin">
        <color indexed="56"/>
      </top>
      <bottom style="thin">
        <color indexed="56"/>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2">
    <xf numFmtId="0" fontId="0" fillId="0" borderId="0"/>
    <xf numFmtId="0" fontId="14" fillId="5" borderId="0" applyNumberFormat="0" applyBorder="0" applyAlignment="0" applyProtection="0"/>
    <xf numFmtId="0" fontId="1" fillId="2" borderId="0" applyNumberFormat="0" applyBorder="0" applyAlignment="0" applyProtection="0"/>
    <xf numFmtId="0" fontId="14" fillId="6" borderId="0" applyNumberFormat="0" applyBorder="0" applyAlignment="0" applyProtection="0"/>
    <xf numFmtId="0" fontId="15" fillId="7" borderId="0" applyNumberFormat="0" applyBorder="0" applyAlignment="0" applyProtection="0"/>
    <xf numFmtId="43" fontId="2" fillId="0" borderId="0" applyFont="0" applyFill="0" applyBorder="0" applyAlignment="0" applyProtection="0"/>
    <xf numFmtId="0" fontId="16" fillId="0" borderId="8" applyNumberFormat="0" applyFill="0" applyAlignment="0" applyProtection="0"/>
    <xf numFmtId="0" fontId="17" fillId="0" borderId="9" applyNumberFormat="0" applyFill="0" applyAlignment="0" applyProtection="0"/>
    <xf numFmtId="0" fontId="18" fillId="0" borderId="10" applyNumberFormat="0" applyFill="0" applyAlignment="0" applyProtection="0"/>
    <xf numFmtId="9" fontId="2" fillId="0" borderId="0" applyFont="0" applyFill="0" applyBorder="0" applyAlignment="0" applyProtection="0"/>
    <xf numFmtId="0" fontId="19" fillId="0" borderId="0" applyNumberFormat="0" applyFill="0" applyBorder="0" applyAlignment="0" applyProtection="0"/>
    <xf numFmtId="0" fontId="24" fillId="0" borderId="0" applyNumberFormat="0" applyFill="0" applyBorder="0" applyAlignment="0" applyProtection="0">
      <alignment vertical="top"/>
      <protection locked="0"/>
    </xf>
  </cellStyleXfs>
  <cellXfs count="253">
    <xf numFmtId="0" fontId="0" fillId="0" borderId="0" xfId="0"/>
    <xf numFmtId="14" fontId="0" fillId="0" borderId="0" xfId="0" applyNumberFormat="1"/>
    <xf numFmtId="0" fontId="0" fillId="0" borderId="0" xfId="0" quotePrefix="1"/>
    <xf numFmtId="0" fontId="14" fillId="5" borderId="0" xfId="1"/>
    <xf numFmtId="14" fontId="14" fillId="5" borderId="0" xfId="1" applyNumberFormat="1"/>
    <xf numFmtId="0" fontId="16" fillId="0" borderId="8" xfId="6"/>
    <xf numFmtId="0" fontId="19" fillId="0" borderId="0" xfId="10"/>
    <xf numFmtId="0" fontId="0" fillId="0" borderId="0" xfId="0" applyAlignment="1">
      <alignment vertical="top" wrapText="1"/>
    </xf>
    <xf numFmtId="0" fontId="14" fillId="5" borderId="0" xfId="1" applyFont="1"/>
    <xf numFmtId="6" fontId="14" fillId="5" borderId="0" xfId="1" applyNumberFormat="1" applyFont="1"/>
    <xf numFmtId="10" fontId="0" fillId="0" borderId="0" xfId="0" applyNumberFormat="1"/>
    <xf numFmtId="164" fontId="14" fillId="2" borderId="0" xfId="5" applyNumberFormat="1" applyFont="1" applyFill="1"/>
    <xf numFmtId="164" fontId="14" fillId="0" borderId="0" xfId="5" applyNumberFormat="1" applyFont="1"/>
    <xf numFmtId="14" fontId="15" fillId="7" borderId="0" xfId="4" applyNumberFormat="1"/>
    <xf numFmtId="8" fontId="15" fillId="7" borderId="0" xfId="4" applyNumberFormat="1"/>
    <xf numFmtId="6" fontId="14" fillId="0" borderId="0" xfId="1" applyNumberFormat="1" applyFont="1" applyFill="1"/>
    <xf numFmtId="0" fontId="14" fillId="0" borderId="0" xfId="1" applyFont="1" applyFill="1"/>
    <xf numFmtId="0" fontId="0" fillId="0" borderId="0" xfId="0" applyAlignment="1">
      <alignment vertical="top"/>
    </xf>
    <xf numFmtId="0" fontId="17" fillId="0" borderId="9" xfId="7"/>
    <xf numFmtId="0" fontId="0" fillId="0" borderId="0" xfId="0" applyAlignment="1">
      <alignment horizontal="left" indent="1"/>
    </xf>
    <xf numFmtId="0" fontId="14" fillId="5" borderId="0" xfId="1" applyAlignment="1">
      <alignment horizontal="left" indent="1"/>
    </xf>
    <xf numFmtId="14" fontId="17" fillId="0" borderId="9" xfId="7" applyNumberFormat="1"/>
    <xf numFmtId="0" fontId="17" fillId="0" borderId="9" xfId="7" applyAlignment="1">
      <alignment horizontal="left" indent="1"/>
    </xf>
    <xf numFmtId="0" fontId="0" fillId="0" borderId="0" xfId="0" applyAlignment="1">
      <alignment horizontal="left" wrapText="1" indent="1"/>
    </xf>
    <xf numFmtId="14" fontId="0" fillId="0" borderId="0" xfId="0" applyNumberFormat="1" applyAlignment="1">
      <alignment vertical="top"/>
    </xf>
    <xf numFmtId="0" fontId="0" fillId="0" borderId="0" xfId="0" quotePrefix="1" applyAlignment="1">
      <alignment vertical="top"/>
    </xf>
    <xf numFmtId="0" fontId="0" fillId="0" borderId="0" xfId="0" applyAlignment="1">
      <alignment horizontal="left" vertical="top" indent="1"/>
    </xf>
    <xf numFmtId="0" fontId="17" fillId="0" borderId="9" xfId="7" applyFill="1"/>
    <xf numFmtId="14" fontId="14" fillId="5" borderId="0" xfId="1" quotePrefix="1" applyNumberFormat="1"/>
    <xf numFmtId="0" fontId="4" fillId="5" borderId="0" xfId="1" applyFont="1"/>
    <xf numFmtId="41" fontId="0" fillId="0" borderId="0" xfId="0" applyNumberFormat="1"/>
    <xf numFmtId="0" fontId="0" fillId="0" borderId="0" xfId="0" applyAlignment="1">
      <alignment wrapText="1"/>
    </xf>
    <xf numFmtId="18" fontId="0" fillId="0" borderId="0" xfId="0" applyNumberFormat="1"/>
    <xf numFmtId="0" fontId="0" fillId="0" borderId="0" xfId="0" applyNumberFormat="1"/>
    <xf numFmtId="165" fontId="0" fillId="0" borderId="0" xfId="0" applyNumberFormat="1"/>
    <xf numFmtId="20" fontId="0" fillId="0" borderId="0" xfId="0" applyNumberFormat="1"/>
    <xf numFmtId="19" fontId="0" fillId="0" borderId="0" xfId="0" applyNumberFormat="1"/>
    <xf numFmtId="0" fontId="0" fillId="0" borderId="0" xfId="0" quotePrefix="1" applyAlignment="1">
      <alignment horizontal="left"/>
    </xf>
    <xf numFmtId="14" fontId="14" fillId="5" borderId="0" xfId="1" applyNumberFormat="1" applyFont="1"/>
    <xf numFmtId="22" fontId="0" fillId="0" borderId="0" xfId="0" applyNumberFormat="1"/>
    <xf numFmtId="14" fontId="14" fillId="0" borderId="0" xfId="1" quotePrefix="1" applyNumberFormat="1" applyFill="1"/>
    <xf numFmtId="0" fontId="18" fillId="0" borderId="10" xfId="8"/>
    <xf numFmtId="166" fontId="0" fillId="0" borderId="0" xfId="0" applyNumberFormat="1"/>
    <xf numFmtId="0" fontId="19" fillId="0" borderId="0" xfId="10" applyProtection="1">
      <protection locked="0"/>
    </xf>
    <xf numFmtId="0" fontId="0" fillId="0" borderId="0" xfId="0" applyProtection="1">
      <protection locked="0"/>
    </xf>
    <xf numFmtId="0" fontId="0" fillId="0" borderId="0" xfId="0" quotePrefix="1" applyProtection="1">
      <protection locked="0"/>
    </xf>
    <xf numFmtId="0" fontId="5" fillId="3" borderId="2" xfId="0" applyFont="1" applyFill="1" applyBorder="1" applyProtection="1">
      <protection locked="0"/>
    </xf>
    <xf numFmtId="0" fontId="0" fillId="0" borderId="2" xfId="0" applyBorder="1" applyAlignment="1" applyProtection="1">
      <alignment horizontal="right"/>
      <protection locked="0"/>
    </xf>
    <xf numFmtId="0" fontId="0" fillId="0" borderId="0" xfId="0" applyBorder="1" applyAlignment="1" applyProtection="1">
      <protection locked="0"/>
    </xf>
    <xf numFmtId="0" fontId="0" fillId="0" borderId="2" xfId="0" applyBorder="1" applyProtection="1">
      <protection locked="0"/>
    </xf>
    <xf numFmtId="0" fontId="5" fillId="0" borderId="0" xfId="0" applyFont="1" applyProtection="1">
      <protection locked="0"/>
    </xf>
    <xf numFmtId="0" fontId="5" fillId="3" borderId="2" xfId="0" applyFont="1" applyFill="1" applyBorder="1" applyAlignment="1" applyProtection="1">
      <alignment horizontal="center"/>
      <protection locked="0"/>
    </xf>
    <xf numFmtId="0" fontId="0" fillId="0" borderId="2" xfId="0" applyBorder="1" applyProtection="1"/>
    <xf numFmtId="8" fontId="0" fillId="0" borderId="2" xfId="0" applyNumberFormat="1" applyBorder="1" applyProtection="1"/>
    <xf numFmtId="0" fontId="0" fillId="0" borderId="2" xfId="0" applyBorder="1" applyAlignment="1" applyProtection="1">
      <alignment horizontal="right"/>
    </xf>
    <xf numFmtId="0" fontId="0" fillId="0" borderId="0" xfId="0" applyAlignment="1" applyProtection="1">
      <alignment horizontal="left" indent="1"/>
      <protection locked="0"/>
    </xf>
    <xf numFmtId="0" fontId="14" fillId="5" borderId="0" xfId="1" quotePrefix="1"/>
    <xf numFmtId="166" fontId="14" fillId="5" borderId="0" xfId="1" applyNumberFormat="1"/>
    <xf numFmtId="0" fontId="0" fillId="0" borderId="0" xfId="0" applyAlignment="1">
      <alignment horizontal="center"/>
    </xf>
    <xf numFmtId="43" fontId="14" fillId="0" borderId="0" xfId="5" applyFont="1"/>
    <xf numFmtId="0" fontId="0" fillId="0" borderId="0" xfId="0" applyAlignment="1">
      <alignment horizontal="left" vertical="top" indent="2"/>
    </xf>
    <xf numFmtId="0" fontId="17" fillId="0" borderId="0" xfId="7" applyBorder="1" applyAlignment="1">
      <alignment vertical="top"/>
    </xf>
    <xf numFmtId="0" fontId="18" fillId="0" borderId="10" xfId="8" applyAlignment="1">
      <alignment vertical="top"/>
    </xf>
    <xf numFmtId="43" fontId="0" fillId="0" borderId="0" xfId="0" applyNumberFormat="1"/>
    <xf numFmtId="0" fontId="0" fillId="0" borderId="0" xfId="0" applyAlignment="1">
      <alignment horizontal="left" indent="2"/>
    </xf>
    <xf numFmtId="0" fontId="14" fillId="5" borderId="0" xfId="1" applyAlignment="1">
      <alignment vertical="top"/>
    </xf>
    <xf numFmtId="43" fontId="14" fillId="5" borderId="0" xfId="1" applyNumberFormat="1"/>
    <xf numFmtId="43" fontId="14" fillId="5" borderId="0" xfId="1" quotePrefix="1" applyNumberFormat="1" applyFont="1"/>
    <xf numFmtId="0" fontId="14" fillId="5" borderId="0" xfId="1" quotePrefix="1" applyFont="1" applyAlignment="1">
      <alignment vertical="top"/>
    </xf>
    <xf numFmtId="164" fontId="2" fillId="2" borderId="0" xfId="5" applyNumberFormat="1" applyFill="1"/>
    <xf numFmtId="0" fontId="5" fillId="0" borderId="1" xfId="1" applyFont="1" applyFill="1" applyBorder="1" applyAlignment="1">
      <alignment vertical="center"/>
    </xf>
    <xf numFmtId="43" fontId="2" fillId="2" borderId="0" xfId="5" applyNumberFormat="1" applyFill="1"/>
    <xf numFmtId="0" fontId="6" fillId="0" borderId="0" xfId="10" applyFont="1"/>
    <xf numFmtId="8" fontId="0" fillId="0" borderId="0" xfId="0" applyNumberFormat="1"/>
    <xf numFmtId="0" fontId="2" fillId="5" borderId="0" xfId="1" quotePrefix="1" applyFont="1" applyAlignment="1">
      <alignment vertical="top"/>
    </xf>
    <xf numFmtId="1" fontId="2" fillId="5" borderId="0" xfId="1" quotePrefix="1" applyNumberFormat="1" applyFont="1" applyAlignment="1">
      <alignment vertical="top"/>
    </xf>
    <xf numFmtId="0" fontId="2" fillId="5" borderId="0" xfId="1" applyFont="1" applyAlignment="1">
      <alignment vertical="top"/>
    </xf>
    <xf numFmtId="2" fontId="2" fillId="5" borderId="0" xfId="1" quotePrefix="1" applyNumberFormat="1" applyFont="1" applyAlignment="1">
      <alignment vertical="top"/>
    </xf>
    <xf numFmtId="0" fontId="2" fillId="5" borderId="0" xfId="1" applyFont="1"/>
    <xf numFmtId="0" fontId="2" fillId="5" borderId="0" xfId="1" quotePrefix="1" applyFont="1"/>
    <xf numFmtId="0" fontId="2" fillId="0" borderId="0" xfId="1" applyFont="1" applyFill="1" applyAlignment="1">
      <alignment vertical="top"/>
    </xf>
    <xf numFmtId="0" fontId="10" fillId="0" borderId="0" xfId="0" applyFont="1" applyBorder="1"/>
    <xf numFmtId="0" fontId="0" fillId="0" borderId="0" xfId="0" applyBorder="1"/>
    <xf numFmtId="0" fontId="0" fillId="0" borderId="0" xfId="0" applyFill="1"/>
    <xf numFmtId="0" fontId="4" fillId="0" borderId="10" xfId="8" applyFont="1" applyAlignment="1">
      <alignment vertical="top"/>
    </xf>
    <xf numFmtId="0" fontId="14" fillId="0" borderId="0" xfId="1" applyFill="1" applyAlignment="1">
      <alignment vertical="top"/>
    </xf>
    <xf numFmtId="0" fontId="14" fillId="5" borderId="3" xfId="1" applyBorder="1" applyAlignment="1">
      <alignment vertical="top"/>
    </xf>
    <xf numFmtId="0" fontId="14" fillId="5" borderId="1" xfId="1" applyBorder="1" applyAlignment="1">
      <alignment vertical="top"/>
    </xf>
    <xf numFmtId="0" fontId="14" fillId="5" borderId="0" xfId="1" applyFont="1" applyAlignment="1">
      <alignment vertical="top"/>
    </xf>
    <xf numFmtId="43" fontId="2" fillId="2" borderId="0" xfId="5" applyFill="1"/>
    <xf numFmtId="43" fontId="2" fillId="2" borderId="0" xfId="5" quotePrefix="1" applyFont="1" applyFill="1" applyAlignment="1">
      <alignment vertical="top"/>
    </xf>
    <xf numFmtId="0" fontId="5" fillId="0" borderId="1" xfId="1" applyFont="1" applyFill="1" applyBorder="1" applyAlignment="1">
      <alignment horizontal="center" vertical="center"/>
    </xf>
    <xf numFmtId="0" fontId="5" fillId="0" borderId="1" xfId="1" applyFont="1" applyFill="1" applyBorder="1" applyAlignment="1">
      <alignment horizontal="right" vertical="center"/>
    </xf>
    <xf numFmtId="0" fontId="18" fillId="0" borderId="10" xfId="8" applyAlignment="1">
      <alignment horizontal="right" vertical="top"/>
    </xf>
    <xf numFmtId="0" fontId="0" fillId="0" borderId="0" xfId="0" applyAlignment="1">
      <alignment horizontal="right"/>
    </xf>
    <xf numFmtId="166" fontId="14" fillId="0" borderId="0" xfId="5" applyNumberFormat="1" applyFont="1" applyAlignment="1">
      <alignment horizontal="right"/>
    </xf>
    <xf numFmtId="0" fontId="5" fillId="0" borderId="1" xfId="1" applyFont="1" applyFill="1" applyBorder="1" applyAlignment="1">
      <alignment horizontal="left" vertical="center"/>
    </xf>
    <xf numFmtId="0" fontId="14" fillId="0" borderId="0" xfId="1" applyFont="1" applyFill="1" applyBorder="1" applyAlignment="1">
      <alignment horizontal="left" vertical="center"/>
    </xf>
    <xf numFmtId="0" fontId="5" fillId="0" borderId="0" xfId="1" applyFont="1" applyFill="1" applyBorder="1" applyAlignment="1">
      <alignment horizontal="left" vertical="center"/>
    </xf>
    <xf numFmtId="43" fontId="14" fillId="2" borderId="0" xfId="5" applyFont="1" applyFill="1" applyAlignment="1">
      <alignment horizontal="right"/>
    </xf>
    <xf numFmtId="0" fontId="0" fillId="0" borderId="0" xfId="0" applyAlignment="1"/>
    <xf numFmtId="22" fontId="0" fillId="0" borderId="0" xfId="0" quotePrefix="1" applyNumberFormat="1"/>
    <xf numFmtId="0" fontId="13" fillId="0" borderId="0" xfId="0" applyFont="1"/>
    <xf numFmtId="0" fontId="0" fillId="0" borderId="0" xfId="0" applyBorder="1" applyAlignment="1">
      <alignment horizontal="center"/>
    </xf>
    <xf numFmtId="43" fontId="14" fillId="0" borderId="0" xfId="5" applyFont="1" applyBorder="1"/>
    <xf numFmtId="0" fontId="0" fillId="0" borderId="0" xfId="0" applyBorder="1" applyAlignment="1">
      <alignment horizontal="right"/>
    </xf>
    <xf numFmtId="166" fontId="14" fillId="0" borderId="0" xfId="5" applyNumberFormat="1" applyFont="1" applyBorder="1" applyAlignment="1">
      <alignment horizontal="right"/>
    </xf>
    <xf numFmtId="0" fontId="1" fillId="2" borderId="0" xfId="2"/>
    <xf numFmtId="0" fontId="1" fillId="2" borderId="0" xfId="2" applyFont="1"/>
    <xf numFmtId="164" fontId="1" fillId="0" borderId="0" xfId="5" applyNumberFormat="1" applyFont="1" applyAlignment="1">
      <alignment horizontal="right"/>
    </xf>
    <xf numFmtId="0" fontId="15" fillId="4" borderId="0" xfId="4" applyFill="1" applyAlignment="1">
      <alignment horizontal="center"/>
    </xf>
    <xf numFmtId="164" fontId="1" fillId="0" borderId="0" xfId="5" applyNumberFormat="1" applyFont="1"/>
    <xf numFmtId="0" fontId="15" fillId="4" borderId="4" xfId="4" applyFill="1" applyBorder="1" applyAlignment="1">
      <alignment horizontal="left"/>
    </xf>
    <xf numFmtId="41" fontId="1" fillId="2" borderId="0" xfId="2" applyNumberFormat="1" applyBorder="1"/>
    <xf numFmtId="41" fontId="1" fillId="0" borderId="0" xfId="2" applyNumberFormat="1" applyFill="1" applyBorder="1"/>
    <xf numFmtId="0" fontId="0" fillId="0" borderId="5" xfId="0" applyBorder="1"/>
    <xf numFmtId="0" fontId="0" fillId="0" borderId="5" xfId="0" applyBorder="1" applyAlignment="1">
      <alignment horizontal="center"/>
    </xf>
    <xf numFmtId="0" fontId="1" fillId="0" borderId="0" xfId="5" applyNumberFormat="1" applyFont="1" applyAlignment="1">
      <alignment horizontal="right"/>
    </xf>
    <xf numFmtId="0" fontId="1" fillId="0" borderId="0" xfId="5" applyNumberFormat="1" applyFont="1"/>
    <xf numFmtId="37" fontId="1" fillId="0" borderId="0" xfId="2" applyNumberFormat="1" applyFill="1" applyBorder="1"/>
    <xf numFmtId="0" fontId="21" fillId="8" borderId="0" xfId="0" applyFont="1" applyFill="1" applyAlignment="1">
      <alignment wrapText="1"/>
    </xf>
    <xf numFmtId="0" fontId="24" fillId="0" borderId="0" xfId="11" applyAlignment="1" applyProtection="1">
      <alignment vertical="top" wrapText="1"/>
    </xf>
    <xf numFmtId="0" fontId="21" fillId="0" borderId="0" xfId="0" applyFont="1" applyAlignment="1">
      <alignment vertical="top" wrapText="1"/>
    </xf>
    <xf numFmtId="0" fontId="21" fillId="0" borderId="0" xfId="0" applyFont="1"/>
    <xf numFmtId="0" fontId="22" fillId="0" borderId="0" xfId="0" applyFont="1"/>
    <xf numFmtId="0" fontId="23" fillId="0" borderId="0" xfId="0" applyFont="1"/>
    <xf numFmtId="43" fontId="0" fillId="0" borderId="0" xfId="5" applyFont="1"/>
    <xf numFmtId="0" fontId="20" fillId="0" borderId="0" xfId="0" quotePrefix="1" applyFont="1" applyAlignment="1">
      <alignment horizontal="left"/>
    </xf>
    <xf numFmtId="43" fontId="0" fillId="9" borderId="12" xfId="5" applyFont="1" applyFill="1" applyBorder="1"/>
    <xf numFmtId="43" fontId="20" fillId="9" borderId="0" xfId="5" applyFont="1" applyFill="1" applyBorder="1"/>
    <xf numFmtId="43" fontId="0" fillId="9" borderId="0" xfId="5" applyFont="1" applyFill="1" applyBorder="1"/>
    <xf numFmtId="43" fontId="0" fillId="9" borderId="17" xfId="5" applyFont="1" applyFill="1" applyBorder="1"/>
    <xf numFmtId="43" fontId="0" fillId="10" borderId="12" xfId="5" applyFont="1" applyFill="1" applyBorder="1"/>
    <xf numFmtId="43" fontId="0" fillId="10" borderId="0" xfId="5" applyFont="1" applyFill="1" applyBorder="1"/>
    <xf numFmtId="43" fontId="20" fillId="10" borderId="0" xfId="5" applyFont="1" applyFill="1" applyBorder="1"/>
    <xf numFmtId="43" fontId="0" fillId="10" borderId="17" xfId="5" applyFont="1" applyFill="1" applyBorder="1"/>
    <xf numFmtId="0" fontId="25" fillId="9" borderId="11" xfId="0" quotePrefix="1" applyFont="1" applyFill="1" applyBorder="1" applyAlignment="1">
      <alignment horizontal="left"/>
    </xf>
    <xf numFmtId="0" fontId="25" fillId="10" borderId="11" xfId="0" quotePrefix="1" applyFont="1" applyFill="1" applyBorder="1" applyAlignment="1">
      <alignment horizontal="left"/>
    </xf>
    <xf numFmtId="0" fontId="0" fillId="9" borderId="12" xfId="0" applyFont="1" applyFill="1" applyBorder="1"/>
    <xf numFmtId="0" fontId="0" fillId="9" borderId="13" xfId="0" applyFont="1" applyFill="1" applyBorder="1"/>
    <xf numFmtId="0" fontId="0" fillId="0" borderId="0" xfId="0" applyFont="1"/>
    <xf numFmtId="0" fontId="0" fillId="9" borderId="14" xfId="0" applyFont="1" applyFill="1" applyBorder="1"/>
    <xf numFmtId="0" fontId="0" fillId="9" borderId="0" xfId="0" applyFont="1" applyFill="1" applyBorder="1"/>
    <xf numFmtId="0" fontId="0" fillId="9" borderId="15" xfId="0" applyFont="1" applyFill="1" applyBorder="1"/>
    <xf numFmtId="0" fontId="0" fillId="9" borderId="14" xfId="0" quotePrefix="1" applyFont="1" applyFill="1" applyBorder="1" applyAlignment="1">
      <alignment horizontal="left"/>
    </xf>
    <xf numFmtId="0" fontId="0" fillId="9" borderId="16" xfId="0" applyFont="1" applyFill="1" applyBorder="1"/>
    <xf numFmtId="0" fontId="0" fillId="9" borderId="17" xfId="0" applyFont="1" applyFill="1" applyBorder="1"/>
    <xf numFmtId="0" fontId="0" fillId="9" borderId="18" xfId="0" applyFont="1" applyFill="1" applyBorder="1"/>
    <xf numFmtId="0" fontId="0" fillId="10" borderId="12" xfId="0" applyFont="1" applyFill="1" applyBorder="1"/>
    <xf numFmtId="0" fontId="0" fillId="10" borderId="13" xfId="0" applyFont="1" applyFill="1" applyBorder="1"/>
    <xf numFmtId="0" fontId="0" fillId="10" borderId="14" xfId="0" applyFont="1" applyFill="1" applyBorder="1"/>
    <xf numFmtId="0" fontId="0" fillId="10" borderId="0" xfId="0" applyFont="1" applyFill="1" applyBorder="1"/>
    <xf numFmtId="0" fontId="0" fillId="10" borderId="15" xfId="0" applyFont="1" applyFill="1" applyBorder="1"/>
    <xf numFmtId="0" fontId="0" fillId="10" borderId="14" xfId="0" quotePrefix="1" applyFont="1" applyFill="1" applyBorder="1" applyAlignment="1">
      <alignment horizontal="left"/>
    </xf>
    <xf numFmtId="0" fontId="0" fillId="10" borderId="16" xfId="0" applyFont="1" applyFill="1" applyBorder="1"/>
    <xf numFmtId="0" fontId="0" fillId="10" borderId="17" xfId="0" applyFont="1" applyFill="1" applyBorder="1"/>
    <xf numFmtId="0" fontId="0" fillId="10" borderId="18" xfId="0" applyFont="1" applyFill="1" applyBorder="1"/>
    <xf numFmtId="43" fontId="0" fillId="11" borderId="12" xfId="5" applyFont="1" applyFill="1" applyBorder="1"/>
    <xf numFmtId="0" fontId="0" fillId="11" borderId="12" xfId="0" applyFont="1" applyFill="1" applyBorder="1"/>
    <xf numFmtId="0" fontId="0" fillId="11" borderId="13" xfId="0" applyFont="1" applyFill="1" applyBorder="1"/>
    <xf numFmtId="0" fontId="0" fillId="11" borderId="14" xfId="0" applyFont="1" applyFill="1" applyBorder="1"/>
    <xf numFmtId="43" fontId="20" fillId="11" borderId="0" xfId="5" applyFont="1" applyFill="1" applyBorder="1"/>
    <xf numFmtId="0" fontId="0" fillId="11" borderId="0" xfId="0" applyFont="1" applyFill="1" applyBorder="1"/>
    <xf numFmtId="0" fontId="0" fillId="11" borderId="15" xfId="0" applyFont="1" applyFill="1" applyBorder="1"/>
    <xf numFmtId="49" fontId="1" fillId="11" borderId="14" xfId="0" applyNumberFormat="1" applyFont="1" applyFill="1" applyBorder="1" applyAlignment="1">
      <alignment horizontal="left"/>
    </xf>
    <xf numFmtId="43" fontId="1" fillId="11" borderId="0" xfId="5" applyFont="1" applyFill="1" applyBorder="1"/>
    <xf numFmtId="43" fontId="4" fillId="11" borderId="0" xfId="5" applyFont="1" applyFill="1" applyBorder="1"/>
    <xf numFmtId="49" fontId="1" fillId="11" borderId="16" xfId="0" applyNumberFormat="1" applyFont="1" applyFill="1" applyBorder="1" applyAlignment="1">
      <alignment horizontal="left"/>
    </xf>
    <xf numFmtId="43" fontId="1" fillId="11" borderId="17" xfId="5" applyFont="1" applyFill="1" applyBorder="1"/>
    <xf numFmtId="43" fontId="4" fillId="11" borderId="17" xfId="5" applyFont="1" applyFill="1" applyBorder="1"/>
    <xf numFmtId="0" fontId="0" fillId="11" borderId="17" xfId="0" applyFont="1" applyFill="1" applyBorder="1"/>
    <xf numFmtId="0" fontId="0" fillId="11" borderId="18" xfId="0" applyFont="1" applyFill="1" applyBorder="1"/>
    <xf numFmtId="0" fontId="25" fillId="11" borderId="11" xfId="0" quotePrefix="1" applyFont="1" applyFill="1" applyBorder="1" applyAlignment="1">
      <alignment horizontal="left"/>
    </xf>
    <xf numFmtId="0" fontId="0" fillId="0" borderId="0" xfId="0" applyFont="1" applyAlignment="1"/>
    <xf numFmtId="0" fontId="20" fillId="0" borderId="0" xfId="0" applyFont="1" applyAlignment="1"/>
    <xf numFmtId="0" fontId="20" fillId="12" borderId="19" xfId="0" quotePrefix="1" applyFont="1" applyFill="1" applyBorder="1" applyAlignment="1">
      <alignment horizontal="left" vertical="top"/>
    </xf>
    <xf numFmtId="0" fontId="20" fillId="12" borderId="20" xfId="0" applyFont="1" applyFill="1" applyBorder="1" applyAlignment="1">
      <alignment vertical="top"/>
    </xf>
    <xf numFmtId="0" fontId="20" fillId="12" borderId="21" xfId="0" applyFont="1" applyFill="1" applyBorder="1" applyAlignment="1">
      <alignment vertical="top"/>
    </xf>
    <xf numFmtId="0" fontId="0" fillId="12" borderId="14" xfId="0" applyFill="1" applyBorder="1" applyAlignment="1">
      <alignment horizontal="left"/>
    </xf>
    <xf numFmtId="0" fontId="0" fillId="12" borderId="0" xfId="0" applyFill="1" applyBorder="1" applyAlignment="1">
      <alignment vertical="top" wrapText="1" indent="1"/>
    </xf>
    <xf numFmtId="0" fontId="0" fillId="12" borderId="15" xfId="0" applyFill="1" applyBorder="1" applyAlignment="1">
      <alignment horizontal="center" vertical="top" wrapText="1"/>
    </xf>
    <xf numFmtId="0" fontId="20" fillId="12" borderId="0" xfId="0" applyFont="1" applyFill="1" applyBorder="1" applyAlignment="1">
      <alignment vertical="top" wrapText="1" indent="1"/>
    </xf>
    <xf numFmtId="0" fontId="0" fillId="12" borderId="14" xfId="0" quotePrefix="1" applyFill="1" applyBorder="1" applyAlignment="1">
      <alignment horizontal="left"/>
    </xf>
    <xf numFmtId="0" fontId="0" fillId="12" borderId="16" xfId="0" applyFill="1" applyBorder="1" applyAlignment="1">
      <alignment horizontal="left"/>
    </xf>
    <xf numFmtId="0" fontId="0" fillId="12" borderId="17" xfId="0" applyFill="1" applyBorder="1" applyAlignment="1">
      <alignment vertical="top" wrapText="1" indent="1"/>
    </xf>
    <xf numFmtId="0" fontId="0" fillId="12" borderId="18" xfId="0" applyFill="1" applyBorder="1" applyAlignment="1">
      <alignment horizontal="center" vertical="top" wrapText="1"/>
    </xf>
    <xf numFmtId="1" fontId="0" fillId="0" borderId="0" xfId="0" applyNumberFormat="1" applyAlignment="1">
      <alignment horizontal="right" vertical="top"/>
    </xf>
    <xf numFmtId="0" fontId="20" fillId="0" borderId="2" xfId="0" applyFont="1" applyBorder="1" applyAlignment="1">
      <alignment horizontal="center"/>
    </xf>
    <xf numFmtId="9" fontId="0" fillId="0" borderId="2" xfId="9" applyFont="1" applyBorder="1" applyAlignment="1">
      <alignment horizontal="center" vertical="top"/>
    </xf>
    <xf numFmtId="164" fontId="0" fillId="0" borderId="2" xfId="5" applyNumberFormat="1" applyFont="1" applyBorder="1" applyAlignment="1">
      <alignment horizontal="right" vertical="top"/>
    </xf>
    <xf numFmtId="164" fontId="0" fillId="0" borderId="2" xfId="5" applyNumberFormat="1" applyFont="1" applyBorder="1" applyAlignment="1"/>
    <xf numFmtId="9" fontId="0" fillId="0" borderId="0" xfId="9" quotePrefix="1" applyFont="1" applyAlignment="1">
      <alignment horizontal="left" vertical="top"/>
    </xf>
    <xf numFmtId="164" fontId="0" fillId="9" borderId="2" xfId="5" applyNumberFormat="1" applyFont="1" applyFill="1" applyBorder="1" applyAlignment="1">
      <alignment horizontal="right" vertical="top"/>
    </xf>
    <xf numFmtId="9" fontId="0" fillId="0" borderId="0" xfId="9" applyFont="1" applyAlignment="1">
      <alignment horizontal="left" vertical="top"/>
    </xf>
    <xf numFmtId="9" fontId="0" fillId="0" borderId="0" xfId="9" applyFont="1"/>
    <xf numFmtId="164" fontId="0" fillId="0" borderId="0" xfId="5" applyNumberFormat="1" applyFont="1"/>
    <xf numFmtId="164" fontId="0" fillId="0" borderId="0" xfId="0" applyNumberFormat="1" applyFont="1"/>
    <xf numFmtId="43" fontId="0" fillId="0" borderId="0" xfId="0" applyNumberFormat="1" applyFont="1"/>
    <xf numFmtId="0" fontId="0" fillId="13" borderId="0" xfId="0" applyFont="1" applyFill="1" applyBorder="1"/>
    <xf numFmtId="0" fontId="0" fillId="13" borderId="0" xfId="0" applyFont="1" applyFill="1"/>
    <xf numFmtId="0" fontId="20" fillId="13" borderId="0" xfId="0" applyFont="1" applyFill="1" applyAlignment="1"/>
    <xf numFmtId="9" fontId="0" fillId="0" borderId="2" xfId="9" applyFont="1" applyBorder="1" applyAlignment="1">
      <alignment horizontal="right" vertical="top"/>
    </xf>
    <xf numFmtId="164" fontId="0" fillId="0" borderId="2" xfId="5" applyNumberFormat="1" applyFont="1" applyBorder="1"/>
    <xf numFmtId="9" fontId="0" fillId="0" borderId="2" xfId="9" applyFont="1" applyBorder="1"/>
    <xf numFmtId="0" fontId="20" fillId="0" borderId="0" xfId="0" applyFont="1" applyAlignment="1">
      <alignment horizontal="center"/>
    </xf>
    <xf numFmtId="0" fontId="0" fillId="9" borderId="2" xfId="0" applyFont="1" applyFill="1" applyBorder="1" applyAlignment="1">
      <alignment horizontal="center"/>
    </xf>
    <xf numFmtId="0" fontId="20" fillId="0" borderId="0" xfId="0" quotePrefix="1" applyFont="1" applyAlignment="1">
      <alignment horizontal="center"/>
    </xf>
    <xf numFmtId="0" fontId="27" fillId="13" borderId="0" xfId="0" applyFont="1" applyFill="1"/>
    <xf numFmtId="0" fontId="27" fillId="13" borderId="0" xfId="0" applyFont="1" applyFill="1" applyAlignment="1"/>
    <xf numFmtId="0" fontId="27" fillId="13" borderId="0" xfId="0" quotePrefix="1" applyFont="1" applyFill="1" applyAlignment="1"/>
    <xf numFmtId="4" fontId="27" fillId="13" borderId="0" xfId="5" applyNumberFormat="1" applyFont="1" applyFill="1"/>
    <xf numFmtId="0" fontId="27" fillId="13" borderId="0" xfId="1" applyFont="1" applyFill="1"/>
    <xf numFmtId="4" fontId="4" fillId="13" borderId="0" xfId="5" applyNumberFormat="1" applyFont="1" applyFill="1"/>
    <xf numFmtId="0" fontId="26" fillId="13" borderId="0" xfId="6" applyFont="1" applyFill="1" applyBorder="1"/>
    <xf numFmtId="0" fontId="26" fillId="13" borderId="0" xfId="6" applyFont="1" applyFill="1" applyBorder="1" applyAlignment="1"/>
    <xf numFmtId="0" fontId="28" fillId="13" borderId="17" xfId="4" applyFont="1" applyFill="1" applyBorder="1"/>
    <xf numFmtId="0" fontId="27" fillId="13" borderId="0" xfId="1" quotePrefix="1" applyFont="1" applyFill="1" applyAlignment="1">
      <alignment horizontal="left"/>
    </xf>
    <xf numFmtId="0" fontId="27" fillId="13" borderId="0" xfId="1" applyFont="1" applyFill="1" applyAlignment="1">
      <alignment horizontal="left" vertical="top"/>
    </xf>
    <xf numFmtId="14" fontId="27" fillId="13" borderId="0" xfId="0" applyNumberFormat="1" applyFont="1" applyFill="1" applyAlignment="1">
      <alignment horizontal="center"/>
    </xf>
    <xf numFmtId="14" fontId="27" fillId="13" borderId="0" xfId="1" applyNumberFormat="1" applyFont="1" applyFill="1" applyAlignment="1">
      <alignment horizontal="center"/>
    </xf>
    <xf numFmtId="14" fontId="0" fillId="0" borderId="0" xfId="0" applyNumberFormat="1" applyAlignment="1">
      <alignment horizontal="center"/>
    </xf>
    <xf numFmtId="0" fontId="28" fillId="13" borderId="17" xfId="1" applyFont="1" applyFill="1" applyBorder="1" applyAlignment="1">
      <alignment horizontal="left" vertical="top"/>
    </xf>
    <xf numFmtId="0" fontId="28" fillId="13" borderId="17" xfId="4" quotePrefix="1" applyFont="1" applyFill="1" applyBorder="1" applyAlignment="1">
      <alignment horizontal="left"/>
    </xf>
    <xf numFmtId="0" fontId="28" fillId="13" borderId="17" xfId="4" quotePrefix="1" applyFont="1" applyFill="1" applyBorder="1" applyAlignment="1">
      <alignment horizontal="center"/>
    </xf>
    <xf numFmtId="2" fontId="27" fillId="13" borderId="0" xfId="0" applyNumberFormat="1" applyFont="1" applyFill="1" applyAlignment="1">
      <alignment horizontal="center"/>
    </xf>
    <xf numFmtId="2" fontId="27" fillId="13" borderId="0" xfId="1" applyNumberFormat="1" applyFont="1" applyFill="1" applyAlignment="1">
      <alignment horizontal="center"/>
    </xf>
    <xf numFmtId="0" fontId="27" fillId="13" borderId="0" xfId="0" applyFont="1" applyFill="1" applyBorder="1"/>
    <xf numFmtId="0" fontId="27" fillId="13" borderId="0" xfId="0" applyFont="1" applyFill="1" applyBorder="1" applyAlignment="1"/>
    <xf numFmtId="2" fontId="27" fillId="13" borderId="0" xfId="0" applyNumberFormat="1" applyFont="1" applyFill="1" applyBorder="1"/>
    <xf numFmtId="4" fontId="27" fillId="13" borderId="0" xfId="5" applyNumberFormat="1" applyFont="1" applyFill="1" applyBorder="1"/>
    <xf numFmtId="0" fontId="27" fillId="13" borderId="0" xfId="1" applyFont="1" applyFill="1" applyBorder="1"/>
    <xf numFmtId="2" fontId="27" fillId="13" borderId="0" xfId="1" applyNumberFormat="1" applyFont="1" applyFill="1" applyBorder="1"/>
    <xf numFmtId="14" fontId="27" fillId="13" borderId="0" xfId="0" applyNumberFormat="1" applyFont="1" applyFill="1" applyBorder="1" applyAlignment="1">
      <alignment horizontal="center"/>
    </xf>
    <xf numFmtId="2" fontId="27" fillId="13" borderId="0" xfId="0" applyNumberFormat="1" applyFont="1" applyFill="1" applyBorder="1" applyAlignment="1">
      <alignment horizontal="center"/>
    </xf>
    <xf numFmtId="4" fontId="27" fillId="13" borderId="0" xfId="5" applyNumberFormat="1" applyFont="1" applyFill="1" applyBorder="1" applyAlignment="1">
      <alignment horizontal="center"/>
    </xf>
    <xf numFmtId="14" fontId="27" fillId="13" borderId="0" xfId="1" applyNumberFormat="1" applyFont="1" applyFill="1" applyBorder="1" applyAlignment="1">
      <alignment horizontal="center"/>
    </xf>
    <xf numFmtId="2" fontId="27" fillId="13" borderId="0" xfId="1" applyNumberFormat="1" applyFont="1" applyFill="1" applyBorder="1" applyAlignment="1">
      <alignment horizontal="center"/>
    </xf>
    <xf numFmtId="4" fontId="4" fillId="13" borderId="0" xfId="5" applyNumberFormat="1" applyFont="1" applyFill="1" applyBorder="1" applyAlignment="1">
      <alignment horizontal="center"/>
    </xf>
    <xf numFmtId="0" fontId="26" fillId="13" borderId="0" xfId="6" quotePrefix="1" applyFont="1" applyFill="1" applyBorder="1" applyAlignment="1">
      <alignment horizontal="left"/>
    </xf>
    <xf numFmtId="14" fontId="27" fillId="13" borderId="0" xfId="0" applyNumberFormat="1" applyFont="1" applyFill="1" applyBorder="1" applyAlignment="1">
      <alignment horizontal="left"/>
    </xf>
    <xf numFmtId="0" fontId="28" fillId="13" borderId="17" xfId="4" applyFont="1" applyFill="1" applyBorder="1" applyAlignment="1">
      <alignment horizontal="center"/>
    </xf>
    <xf numFmtId="2" fontId="27" fillId="13" borderId="0" xfId="0" applyNumberFormat="1" applyFont="1" applyFill="1" applyBorder="1" applyAlignment="1"/>
    <xf numFmtId="164" fontId="27" fillId="13" borderId="2" xfId="5" applyNumberFormat="1" applyFont="1" applyFill="1" applyBorder="1"/>
    <xf numFmtId="0" fontId="27" fillId="13" borderId="0" xfId="0" quotePrefix="1" applyFont="1" applyFill="1" applyBorder="1" applyAlignment="1">
      <alignment horizontal="left"/>
    </xf>
    <xf numFmtId="0" fontId="27" fillId="13" borderId="0" xfId="1" applyFont="1" applyFill="1" applyAlignment="1">
      <alignment horizontal="left" vertical="top" wrapText="1"/>
    </xf>
    <xf numFmtId="0" fontId="0" fillId="0" borderId="0" xfId="0" applyAlignment="1">
      <alignment wrapText="1"/>
    </xf>
    <xf numFmtId="0" fontId="27" fillId="13" borderId="0" xfId="1" applyFont="1" applyFill="1" applyBorder="1" applyAlignment="1">
      <alignment wrapText="1"/>
    </xf>
    <xf numFmtId="0" fontId="27" fillId="13" borderId="0" xfId="0" applyFont="1" applyFill="1" applyBorder="1" applyAlignment="1">
      <alignment wrapText="1"/>
    </xf>
    <xf numFmtId="0" fontId="20" fillId="0" borderId="2" xfId="0" quotePrefix="1" applyFont="1" applyBorder="1" applyAlignment="1">
      <alignment horizontal="center"/>
    </xf>
    <xf numFmtId="0" fontId="0" fillId="0" borderId="2" xfId="0" applyBorder="1" applyAlignment="1">
      <alignment horizontal="center"/>
    </xf>
    <xf numFmtId="0" fontId="0" fillId="0" borderId="0" xfId="0" applyAlignment="1">
      <alignment horizontal="left" vertical="top" wrapText="1"/>
    </xf>
    <xf numFmtId="0" fontId="5" fillId="3" borderId="6" xfId="3" applyFont="1" applyFill="1" applyBorder="1" applyAlignment="1" applyProtection="1">
      <alignment horizontal="center"/>
      <protection locked="0"/>
    </xf>
    <xf numFmtId="0" fontId="5" fillId="3" borderId="7" xfId="3" applyFont="1" applyFill="1" applyBorder="1" applyAlignment="1" applyProtection="1">
      <alignment horizontal="center"/>
      <protection locked="0"/>
    </xf>
  </cellXfs>
  <cellStyles count="12">
    <cellStyle name="20% - Accent1" xfId="1" builtinId="30"/>
    <cellStyle name="20% - Accent1_functionsamples" xfId="2"/>
    <cellStyle name="20% - Accent6" xfId="3" builtinId="50"/>
    <cellStyle name="Accent1" xfId="4" builtinId="29"/>
    <cellStyle name="Comma" xfId="5" builtinId="3"/>
    <cellStyle name="Heading 1" xfId="6" builtinId="16"/>
    <cellStyle name="Heading 2" xfId="7" builtinId="17"/>
    <cellStyle name="Heading 3" xfId="8" builtinId="18"/>
    <cellStyle name="Hyperlink" xfId="11" builtinId="8"/>
    <cellStyle name="Normal" xfId="0" builtinId="0"/>
    <cellStyle name="Percent" xfId="9" builtinId="5"/>
    <cellStyle name="Title" xfId="10" builtinId="15"/>
  </cellStyles>
  <dxfs count="2">
    <dxf>
      <font>
        <b/>
        <i/>
        <condense val="0"/>
        <extend val="0"/>
        <color indexed="17"/>
      </font>
    </dxf>
    <dxf>
      <font>
        <b/>
        <i/>
        <condense val="0"/>
        <extend val="0"/>
        <color indexed="17"/>
      </font>
    </dxf>
  </dxfs>
  <tableStyles count="0" defaultTableStyle="TableStyleMedium9" defaultPivotStyle="PivotStyleLight16"/>
  <colors>
    <mruColors>
      <color rgb="FFFFFFCC"/>
      <color rgb="FFCCFFFF"/>
      <color rgb="FFFFCCCC"/>
      <color rgb="FFCCEC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image" Target="../media/image9.jpeg"/><Relationship Id="rId5" Type="http://schemas.openxmlformats.org/officeDocument/2006/relationships/image" Target="../media/image8.jpeg"/><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9</xdr:col>
      <xdr:colOff>142875</xdr:colOff>
      <xdr:row>0</xdr:row>
      <xdr:rowOff>95250</xdr:rowOff>
    </xdr:from>
    <xdr:to>
      <xdr:col>15</xdr:col>
      <xdr:colOff>514350</xdr:colOff>
      <xdr:row>18</xdr:row>
      <xdr:rowOff>28575</xdr:rowOff>
    </xdr:to>
    <xdr:pic>
      <xdr:nvPicPr>
        <xdr:cNvPr id="311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629275" y="95250"/>
          <a:ext cx="4029075" cy="3514725"/>
        </a:xfrm>
        <a:prstGeom prst="rect">
          <a:avLst/>
        </a:prstGeom>
        <a:noFill/>
        <a:ln w="1">
          <a:noFill/>
          <a:miter lim="800000"/>
          <a:headEnd/>
          <a:tailEnd/>
        </a:ln>
      </xdr:spPr>
    </xdr:pic>
    <xdr:clientData/>
  </xdr:twoCellAnchor>
  <xdr:twoCellAnchor editAs="oneCell">
    <xdr:from>
      <xdr:col>3</xdr:col>
      <xdr:colOff>381000</xdr:colOff>
      <xdr:row>22</xdr:row>
      <xdr:rowOff>47625</xdr:rowOff>
    </xdr:from>
    <xdr:to>
      <xdr:col>13</xdr:col>
      <xdr:colOff>0</xdr:colOff>
      <xdr:row>38</xdr:row>
      <xdr:rowOff>123825</xdr:rowOff>
    </xdr:to>
    <xdr:pic>
      <xdr:nvPicPr>
        <xdr:cNvPr id="3116"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2209800" y="4391025"/>
          <a:ext cx="5715000" cy="3124200"/>
        </a:xfrm>
        <a:prstGeom prst="rect">
          <a:avLst/>
        </a:prstGeom>
        <a:noFill/>
        <a:ln w="1">
          <a:noFill/>
          <a:miter lim="800000"/>
          <a:headEnd/>
          <a:tailEnd/>
        </a:ln>
      </xdr:spPr>
    </xdr:pic>
    <xdr:clientData/>
  </xdr:twoCellAnchor>
  <xdr:twoCellAnchor editAs="oneCell">
    <xdr:from>
      <xdr:col>0</xdr:col>
      <xdr:colOff>142875</xdr:colOff>
      <xdr:row>16</xdr:row>
      <xdr:rowOff>47625</xdr:rowOff>
    </xdr:from>
    <xdr:to>
      <xdr:col>9</xdr:col>
      <xdr:colOff>371475</xdr:colOff>
      <xdr:row>32</xdr:row>
      <xdr:rowOff>123825</xdr:rowOff>
    </xdr:to>
    <xdr:pic>
      <xdr:nvPicPr>
        <xdr:cNvPr id="3117"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142875" y="3248025"/>
          <a:ext cx="5715000" cy="3124200"/>
        </a:xfrm>
        <a:prstGeom prst="rect">
          <a:avLst/>
        </a:prstGeom>
        <a:noFill/>
        <a:ln w="1">
          <a:noFill/>
          <a:miter lim="800000"/>
          <a:headEnd/>
          <a:tailEnd/>
        </a:ln>
      </xdr:spPr>
    </xdr:pic>
    <xdr:clientData/>
  </xdr:twoCellAnchor>
  <xdr:oneCellAnchor>
    <xdr:from>
      <xdr:col>11</xdr:col>
      <xdr:colOff>66675</xdr:colOff>
      <xdr:row>26</xdr:row>
      <xdr:rowOff>95250</xdr:rowOff>
    </xdr:from>
    <xdr:ext cx="1547532" cy="292906"/>
    <xdr:sp macro="" textlink="">
      <xdr:nvSpPr>
        <xdr:cNvPr id="9" name="TextBox 8"/>
        <xdr:cNvSpPr txBox="1"/>
      </xdr:nvSpPr>
      <xdr:spPr>
        <a:xfrm>
          <a:off x="6772275" y="5200650"/>
          <a:ext cx="1490216" cy="264560"/>
        </a:xfrm>
        <a:prstGeom prst="rect">
          <a:avLst/>
        </a:prstGeom>
      </xdr:spPr>
      <xdr:style>
        <a:lnRef idx="1">
          <a:schemeClr val="accent1"/>
        </a:lnRef>
        <a:fillRef idx="3">
          <a:schemeClr val="accent1"/>
        </a:fillRef>
        <a:effectRef idx="2">
          <a:schemeClr val="accent1"/>
        </a:effectRef>
        <a:fontRef idx="minor">
          <a:schemeClr val="lt1"/>
        </a:fontRef>
      </xdr:style>
      <xdr:txBody>
        <a:bodyPr wrap="none" rtlCol="0" anchor="t">
          <a:spAutoFit/>
        </a:bodyPr>
        <a:lstStyle/>
        <a:p>
          <a:r>
            <a:rPr lang="en-US" sz="1100"/>
            <a:t>Argument descriptions</a:t>
          </a:r>
        </a:p>
      </xdr:txBody>
    </xdr:sp>
    <xdr:clientData/>
  </xdr:oneCellAnchor>
  <xdr:twoCellAnchor>
    <xdr:from>
      <xdr:col>9</xdr:col>
      <xdr:colOff>266701</xdr:colOff>
      <xdr:row>27</xdr:row>
      <xdr:rowOff>37030</xdr:rowOff>
    </xdr:from>
    <xdr:to>
      <xdr:col>11</xdr:col>
      <xdr:colOff>66676</xdr:colOff>
      <xdr:row>27</xdr:row>
      <xdr:rowOff>38100</xdr:rowOff>
    </xdr:to>
    <xdr:cxnSp macro="">
      <xdr:nvCxnSpPr>
        <xdr:cNvPr id="11" name="Straight Arrow Connector 10"/>
        <xdr:cNvCxnSpPr>
          <a:stCxn id="9" idx="1"/>
        </xdr:cNvCxnSpPr>
      </xdr:nvCxnSpPr>
      <xdr:spPr>
        <a:xfrm rot="10800000" flipV="1">
          <a:off x="5753101" y="5332930"/>
          <a:ext cx="1019175" cy="107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76200</xdr:colOff>
      <xdr:row>27</xdr:row>
      <xdr:rowOff>169311</xdr:rowOff>
    </xdr:from>
    <xdr:to>
      <xdr:col>12</xdr:col>
      <xdr:colOff>202183</xdr:colOff>
      <xdr:row>32</xdr:row>
      <xdr:rowOff>133351</xdr:rowOff>
    </xdr:to>
    <xdr:cxnSp macro="">
      <xdr:nvCxnSpPr>
        <xdr:cNvPr id="13" name="Elbow Connector 12"/>
        <xdr:cNvCxnSpPr>
          <a:stCxn id="9" idx="2"/>
        </xdr:cNvCxnSpPr>
      </xdr:nvCxnSpPr>
      <xdr:spPr>
        <a:xfrm rot="5400000">
          <a:off x="6691322" y="5555689"/>
          <a:ext cx="916540" cy="735583"/>
        </a:xfrm>
        <a:prstGeom prst="bent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5048250</xdr:colOff>
      <xdr:row>3</xdr:row>
      <xdr:rowOff>161925</xdr:rowOff>
    </xdr:from>
    <xdr:to>
      <xdr:col>2</xdr:col>
      <xdr:colOff>38100</xdr:colOff>
      <xdr:row>5</xdr:row>
      <xdr:rowOff>85725</xdr:rowOff>
    </xdr:to>
    <xdr:pic>
      <xdr:nvPicPr>
        <xdr:cNvPr id="5140" name="Picture 203" descr="http://www.schwimmerlegal.com/smiley.jpg"/>
        <xdr:cNvPicPr>
          <a:picLocks noChangeAspect="1" noChangeArrowheads="1"/>
        </xdr:cNvPicPr>
      </xdr:nvPicPr>
      <xdr:blipFill>
        <a:blip xmlns:r="http://schemas.openxmlformats.org/officeDocument/2006/relationships" r:embed="rId1" cstate="print"/>
        <a:srcRect/>
        <a:stretch>
          <a:fillRect/>
        </a:stretch>
      </xdr:blipFill>
      <xdr:spPr bwMode="auto">
        <a:xfrm>
          <a:off x="10353675" y="733425"/>
          <a:ext cx="295275" cy="304800"/>
        </a:xfrm>
        <a:prstGeom prst="rect">
          <a:avLst/>
        </a:prstGeom>
        <a:noFill/>
      </xdr:spPr>
    </xdr:pic>
    <xdr:clientData/>
  </xdr:twoCellAnchor>
  <xdr:twoCellAnchor>
    <xdr:from>
      <xdr:col>1</xdr:col>
      <xdr:colOff>5010150</xdr:colOff>
      <xdr:row>17</xdr:row>
      <xdr:rowOff>285750</xdr:rowOff>
    </xdr:from>
    <xdr:to>
      <xdr:col>2</xdr:col>
      <xdr:colOff>0</xdr:colOff>
      <xdr:row>19</xdr:row>
      <xdr:rowOff>76200</xdr:rowOff>
    </xdr:to>
    <xdr:pic>
      <xdr:nvPicPr>
        <xdr:cNvPr id="5139" name="Picture 19" descr="http://www.schwimmerlegal.com/smiley.jpg"/>
        <xdr:cNvPicPr>
          <a:picLocks noChangeAspect="1" noChangeArrowheads="1"/>
        </xdr:cNvPicPr>
      </xdr:nvPicPr>
      <xdr:blipFill>
        <a:blip xmlns:r="http://schemas.openxmlformats.org/officeDocument/2006/relationships" r:embed="rId2"/>
        <a:srcRect/>
        <a:stretch>
          <a:fillRect/>
        </a:stretch>
      </xdr:blipFill>
      <xdr:spPr bwMode="auto">
        <a:xfrm>
          <a:off x="10315575" y="3733800"/>
          <a:ext cx="295275" cy="304800"/>
        </a:xfrm>
        <a:prstGeom prst="rect">
          <a:avLst/>
        </a:prstGeom>
        <a:noFill/>
      </xdr:spPr>
    </xdr:pic>
    <xdr:clientData/>
  </xdr:twoCellAnchor>
  <xdr:twoCellAnchor>
    <xdr:from>
      <xdr:col>1</xdr:col>
      <xdr:colOff>5010150</xdr:colOff>
      <xdr:row>18</xdr:row>
      <xdr:rowOff>180975</xdr:rowOff>
    </xdr:from>
    <xdr:to>
      <xdr:col>2</xdr:col>
      <xdr:colOff>0</xdr:colOff>
      <xdr:row>20</xdr:row>
      <xdr:rowOff>104775</xdr:rowOff>
    </xdr:to>
    <xdr:pic>
      <xdr:nvPicPr>
        <xdr:cNvPr id="5138" name="Picture 18" descr="http://www.schwimmerlegal.com/smiley.jpg"/>
        <xdr:cNvPicPr>
          <a:picLocks noChangeAspect="1" noChangeArrowheads="1"/>
        </xdr:cNvPicPr>
      </xdr:nvPicPr>
      <xdr:blipFill>
        <a:blip xmlns:r="http://schemas.openxmlformats.org/officeDocument/2006/relationships" r:embed="rId2"/>
        <a:srcRect/>
        <a:stretch>
          <a:fillRect/>
        </a:stretch>
      </xdr:blipFill>
      <xdr:spPr bwMode="auto">
        <a:xfrm>
          <a:off x="10315575" y="3952875"/>
          <a:ext cx="295275" cy="304800"/>
        </a:xfrm>
        <a:prstGeom prst="rect">
          <a:avLst/>
        </a:prstGeom>
        <a:noFill/>
      </xdr:spPr>
    </xdr:pic>
    <xdr:clientData/>
  </xdr:twoCellAnchor>
  <xdr:twoCellAnchor>
    <xdr:from>
      <xdr:col>1</xdr:col>
      <xdr:colOff>5181600</xdr:colOff>
      <xdr:row>30</xdr:row>
      <xdr:rowOff>114300</xdr:rowOff>
    </xdr:from>
    <xdr:to>
      <xdr:col>2</xdr:col>
      <xdr:colOff>171450</xdr:colOff>
      <xdr:row>32</xdr:row>
      <xdr:rowOff>38100</xdr:rowOff>
    </xdr:to>
    <xdr:pic>
      <xdr:nvPicPr>
        <xdr:cNvPr id="5137" name="Picture 17" descr="http://www.schwimmerlegal.com/smiley.jpg"/>
        <xdr:cNvPicPr>
          <a:picLocks noChangeAspect="1" noChangeArrowheads="1"/>
        </xdr:cNvPicPr>
      </xdr:nvPicPr>
      <xdr:blipFill>
        <a:blip xmlns:r="http://schemas.openxmlformats.org/officeDocument/2006/relationships" r:embed="rId3" cstate="print"/>
        <a:srcRect/>
        <a:stretch>
          <a:fillRect/>
        </a:stretch>
      </xdr:blipFill>
      <xdr:spPr bwMode="auto">
        <a:xfrm>
          <a:off x="10487025" y="6457950"/>
          <a:ext cx="295275" cy="304800"/>
        </a:xfrm>
        <a:prstGeom prst="rect">
          <a:avLst/>
        </a:prstGeom>
        <a:noFill/>
      </xdr:spPr>
    </xdr:pic>
    <xdr:clientData/>
  </xdr:twoCellAnchor>
  <xdr:twoCellAnchor>
    <xdr:from>
      <xdr:col>1</xdr:col>
      <xdr:colOff>4991100</xdr:colOff>
      <xdr:row>39</xdr:row>
      <xdr:rowOff>180975</xdr:rowOff>
    </xdr:from>
    <xdr:to>
      <xdr:col>1</xdr:col>
      <xdr:colOff>5286375</xdr:colOff>
      <xdr:row>41</xdr:row>
      <xdr:rowOff>104775</xdr:rowOff>
    </xdr:to>
    <xdr:pic>
      <xdr:nvPicPr>
        <xdr:cNvPr id="5136" name="Picture 16" descr="http://www.schwimmerlegal.com/smiley.jpg"/>
        <xdr:cNvPicPr>
          <a:picLocks noChangeAspect="1" noChangeArrowheads="1"/>
        </xdr:cNvPicPr>
      </xdr:nvPicPr>
      <xdr:blipFill>
        <a:blip xmlns:r="http://schemas.openxmlformats.org/officeDocument/2006/relationships" r:embed="rId2"/>
        <a:srcRect/>
        <a:stretch>
          <a:fillRect/>
        </a:stretch>
      </xdr:blipFill>
      <xdr:spPr bwMode="auto">
        <a:xfrm>
          <a:off x="10296525" y="8391525"/>
          <a:ext cx="295275" cy="304800"/>
        </a:xfrm>
        <a:prstGeom prst="rect">
          <a:avLst/>
        </a:prstGeom>
        <a:noFill/>
      </xdr:spPr>
    </xdr:pic>
    <xdr:clientData/>
  </xdr:twoCellAnchor>
  <xdr:twoCellAnchor>
    <xdr:from>
      <xdr:col>1</xdr:col>
      <xdr:colOff>4648200</xdr:colOff>
      <xdr:row>52</xdr:row>
      <xdr:rowOff>161925</xdr:rowOff>
    </xdr:from>
    <xdr:to>
      <xdr:col>1</xdr:col>
      <xdr:colOff>4943475</xdr:colOff>
      <xdr:row>54</xdr:row>
      <xdr:rowOff>85725</xdr:rowOff>
    </xdr:to>
    <xdr:pic>
      <xdr:nvPicPr>
        <xdr:cNvPr id="5135" name="Picture 15" descr="http://www.schwimmerlegal.com/smiley.jpg"/>
        <xdr:cNvPicPr>
          <a:picLocks noChangeAspect="1" noChangeArrowheads="1"/>
        </xdr:cNvPicPr>
      </xdr:nvPicPr>
      <xdr:blipFill>
        <a:blip xmlns:r="http://schemas.openxmlformats.org/officeDocument/2006/relationships" r:embed="rId4" cstate="print"/>
        <a:srcRect/>
        <a:stretch>
          <a:fillRect/>
        </a:stretch>
      </xdr:blipFill>
      <xdr:spPr bwMode="auto">
        <a:xfrm>
          <a:off x="9953625" y="11058525"/>
          <a:ext cx="295275" cy="304800"/>
        </a:xfrm>
        <a:prstGeom prst="rect">
          <a:avLst/>
        </a:prstGeom>
        <a:noFill/>
      </xdr:spPr>
    </xdr:pic>
    <xdr:clientData/>
  </xdr:twoCellAnchor>
  <xdr:twoCellAnchor>
    <xdr:from>
      <xdr:col>1</xdr:col>
      <xdr:colOff>4819650</xdr:colOff>
      <xdr:row>60</xdr:row>
      <xdr:rowOff>161925</xdr:rowOff>
    </xdr:from>
    <xdr:to>
      <xdr:col>1</xdr:col>
      <xdr:colOff>5114925</xdr:colOff>
      <xdr:row>62</xdr:row>
      <xdr:rowOff>85725</xdr:rowOff>
    </xdr:to>
    <xdr:pic>
      <xdr:nvPicPr>
        <xdr:cNvPr id="5134" name="Picture 14" descr="http://www.schwimmerlegal.com/smiley.jpg"/>
        <xdr:cNvPicPr>
          <a:picLocks noChangeAspect="1" noChangeArrowheads="1"/>
        </xdr:cNvPicPr>
      </xdr:nvPicPr>
      <xdr:blipFill>
        <a:blip xmlns:r="http://schemas.openxmlformats.org/officeDocument/2006/relationships" r:embed="rId5" cstate="print"/>
        <a:srcRect/>
        <a:stretch>
          <a:fillRect/>
        </a:stretch>
      </xdr:blipFill>
      <xdr:spPr bwMode="auto">
        <a:xfrm>
          <a:off x="10125075" y="12734925"/>
          <a:ext cx="295275" cy="304800"/>
        </a:xfrm>
        <a:prstGeom prst="rect">
          <a:avLst/>
        </a:prstGeom>
        <a:noFill/>
      </xdr:spPr>
    </xdr:pic>
    <xdr:clientData/>
  </xdr:twoCellAnchor>
  <xdr:twoCellAnchor>
    <xdr:from>
      <xdr:col>1</xdr:col>
      <xdr:colOff>4819650</xdr:colOff>
      <xdr:row>67</xdr:row>
      <xdr:rowOff>9525</xdr:rowOff>
    </xdr:from>
    <xdr:to>
      <xdr:col>1</xdr:col>
      <xdr:colOff>5114925</xdr:colOff>
      <xdr:row>68</xdr:row>
      <xdr:rowOff>123825</xdr:rowOff>
    </xdr:to>
    <xdr:pic>
      <xdr:nvPicPr>
        <xdr:cNvPr id="5133" name="Picture 13" descr="http://www.schwimmerlegal.com/smiley.jpg"/>
        <xdr:cNvPicPr>
          <a:picLocks noChangeAspect="1" noChangeArrowheads="1"/>
        </xdr:cNvPicPr>
      </xdr:nvPicPr>
      <xdr:blipFill>
        <a:blip xmlns:r="http://schemas.openxmlformats.org/officeDocument/2006/relationships" r:embed="rId5" cstate="print"/>
        <a:srcRect/>
        <a:stretch>
          <a:fillRect/>
        </a:stretch>
      </xdr:blipFill>
      <xdr:spPr bwMode="auto">
        <a:xfrm>
          <a:off x="10125075" y="14049375"/>
          <a:ext cx="295275" cy="304800"/>
        </a:xfrm>
        <a:prstGeom prst="rect">
          <a:avLst/>
        </a:prstGeom>
        <a:noFill/>
      </xdr:spPr>
    </xdr:pic>
    <xdr:clientData/>
  </xdr:twoCellAnchor>
  <xdr:twoCellAnchor>
    <xdr:from>
      <xdr:col>1</xdr:col>
      <xdr:colOff>4819650</xdr:colOff>
      <xdr:row>72</xdr:row>
      <xdr:rowOff>161925</xdr:rowOff>
    </xdr:from>
    <xdr:to>
      <xdr:col>1</xdr:col>
      <xdr:colOff>5114925</xdr:colOff>
      <xdr:row>74</xdr:row>
      <xdr:rowOff>85725</xdr:rowOff>
    </xdr:to>
    <xdr:pic>
      <xdr:nvPicPr>
        <xdr:cNvPr id="5131" name="Picture 11" descr="http://www.schwimmerlegal.com/smiley.jpg"/>
        <xdr:cNvPicPr>
          <a:picLocks noChangeAspect="1" noChangeArrowheads="1"/>
        </xdr:cNvPicPr>
      </xdr:nvPicPr>
      <xdr:blipFill>
        <a:blip xmlns:r="http://schemas.openxmlformats.org/officeDocument/2006/relationships" r:embed="rId5" cstate="print"/>
        <a:srcRect/>
        <a:stretch>
          <a:fillRect/>
        </a:stretch>
      </xdr:blipFill>
      <xdr:spPr bwMode="auto">
        <a:xfrm>
          <a:off x="10125075" y="15306675"/>
          <a:ext cx="295275" cy="304800"/>
        </a:xfrm>
        <a:prstGeom prst="rect">
          <a:avLst/>
        </a:prstGeom>
        <a:noFill/>
      </xdr:spPr>
    </xdr:pic>
    <xdr:clientData/>
  </xdr:twoCellAnchor>
  <xdr:twoCellAnchor>
    <xdr:from>
      <xdr:col>1</xdr:col>
      <xdr:colOff>4819650</xdr:colOff>
      <xdr:row>71</xdr:row>
      <xdr:rowOff>171450</xdr:rowOff>
    </xdr:from>
    <xdr:to>
      <xdr:col>1</xdr:col>
      <xdr:colOff>5114925</xdr:colOff>
      <xdr:row>73</xdr:row>
      <xdr:rowOff>95250</xdr:rowOff>
    </xdr:to>
    <xdr:pic>
      <xdr:nvPicPr>
        <xdr:cNvPr id="5132" name="Picture 12" descr="http://www.schwimmerlegal.com/smiley.jpg"/>
        <xdr:cNvPicPr>
          <a:picLocks noChangeAspect="1" noChangeArrowheads="1"/>
        </xdr:cNvPicPr>
      </xdr:nvPicPr>
      <xdr:blipFill>
        <a:blip xmlns:r="http://schemas.openxmlformats.org/officeDocument/2006/relationships" r:embed="rId5" cstate="print"/>
        <a:srcRect/>
        <a:stretch>
          <a:fillRect/>
        </a:stretch>
      </xdr:blipFill>
      <xdr:spPr bwMode="auto">
        <a:xfrm>
          <a:off x="10125075" y="15125700"/>
          <a:ext cx="295275" cy="304800"/>
        </a:xfrm>
        <a:prstGeom prst="rect">
          <a:avLst/>
        </a:prstGeom>
        <a:noFill/>
      </xdr:spPr>
    </xdr:pic>
    <xdr:clientData/>
  </xdr:twoCellAnchor>
  <xdr:twoCellAnchor>
    <xdr:from>
      <xdr:col>1</xdr:col>
      <xdr:colOff>4819650</xdr:colOff>
      <xdr:row>78</xdr:row>
      <xdr:rowOff>180975</xdr:rowOff>
    </xdr:from>
    <xdr:to>
      <xdr:col>1</xdr:col>
      <xdr:colOff>5114925</xdr:colOff>
      <xdr:row>80</xdr:row>
      <xdr:rowOff>104775</xdr:rowOff>
    </xdr:to>
    <xdr:pic>
      <xdr:nvPicPr>
        <xdr:cNvPr id="5130" name="Picture 10" descr="http://www.schwimmerlegal.com/smiley.jpg"/>
        <xdr:cNvPicPr>
          <a:picLocks noChangeAspect="1" noChangeArrowheads="1"/>
        </xdr:cNvPicPr>
      </xdr:nvPicPr>
      <xdr:blipFill>
        <a:blip xmlns:r="http://schemas.openxmlformats.org/officeDocument/2006/relationships" r:embed="rId5" cstate="print"/>
        <a:srcRect/>
        <a:stretch>
          <a:fillRect/>
        </a:stretch>
      </xdr:blipFill>
      <xdr:spPr bwMode="auto">
        <a:xfrm>
          <a:off x="10125075" y="16468725"/>
          <a:ext cx="295275" cy="304800"/>
        </a:xfrm>
        <a:prstGeom prst="rect">
          <a:avLst/>
        </a:prstGeom>
        <a:noFill/>
      </xdr:spPr>
    </xdr:pic>
    <xdr:clientData/>
  </xdr:twoCellAnchor>
  <xdr:twoCellAnchor>
    <xdr:from>
      <xdr:col>1</xdr:col>
      <xdr:colOff>4600575</xdr:colOff>
      <xdr:row>97</xdr:row>
      <xdr:rowOff>180975</xdr:rowOff>
    </xdr:from>
    <xdr:to>
      <xdr:col>1</xdr:col>
      <xdr:colOff>4895850</xdr:colOff>
      <xdr:row>99</xdr:row>
      <xdr:rowOff>104775</xdr:rowOff>
    </xdr:to>
    <xdr:pic>
      <xdr:nvPicPr>
        <xdr:cNvPr id="5129" name="Picture 9" descr="http://www.schwimmerlegal.com/smiley.jpg"/>
        <xdr:cNvPicPr>
          <a:picLocks noChangeAspect="1" noChangeArrowheads="1"/>
        </xdr:cNvPicPr>
      </xdr:nvPicPr>
      <xdr:blipFill>
        <a:blip xmlns:r="http://schemas.openxmlformats.org/officeDocument/2006/relationships" r:embed="rId6" cstate="print"/>
        <a:srcRect/>
        <a:stretch>
          <a:fillRect/>
        </a:stretch>
      </xdr:blipFill>
      <xdr:spPr bwMode="auto">
        <a:xfrm>
          <a:off x="9906000" y="20393025"/>
          <a:ext cx="295275" cy="304800"/>
        </a:xfrm>
        <a:prstGeom prst="rect">
          <a:avLst/>
        </a:prstGeom>
        <a:noFill/>
      </xdr:spPr>
    </xdr:pic>
    <xdr:clientData/>
  </xdr:twoCellAnchor>
  <xdr:twoCellAnchor>
    <xdr:from>
      <xdr:col>1</xdr:col>
      <xdr:colOff>4600575</xdr:colOff>
      <xdr:row>98</xdr:row>
      <xdr:rowOff>142875</xdr:rowOff>
    </xdr:from>
    <xdr:to>
      <xdr:col>1</xdr:col>
      <xdr:colOff>4895850</xdr:colOff>
      <xdr:row>100</xdr:row>
      <xdr:rowOff>66675</xdr:rowOff>
    </xdr:to>
    <xdr:pic>
      <xdr:nvPicPr>
        <xdr:cNvPr id="5128" name="Picture 8" descr="http://www.schwimmerlegal.com/smiley.jpg"/>
        <xdr:cNvPicPr>
          <a:picLocks noChangeAspect="1" noChangeArrowheads="1"/>
        </xdr:cNvPicPr>
      </xdr:nvPicPr>
      <xdr:blipFill>
        <a:blip xmlns:r="http://schemas.openxmlformats.org/officeDocument/2006/relationships" r:embed="rId6" cstate="print"/>
        <a:srcRect/>
        <a:stretch>
          <a:fillRect/>
        </a:stretch>
      </xdr:blipFill>
      <xdr:spPr bwMode="auto">
        <a:xfrm>
          <a:off x="9906000" y="20545425"/>
          <a:ext cx="295275" cy="304800"/>
        </a:xfrm>
        <a:prstGeom prst="rect">
          <a:avLst/>
        </a:prstGeom>
        <a:noFill/>
      </xdr:spPr>
    </xdr:pic>
    <xdr:clientData/>
  </xdr:twoCellAnchor>
  <xdr:twoCellAnchor>
    <xdr:from>
      <xdr:col>1</xdr:col>
      <xdr:colOff>4600575</xdr:colOff>
      <xdr:row>100</xdr:row>
      <xdr:rowOff>0</xdr:rowOff>
    </xdr:from>
    <xdr:to>
      <xdr:col>1</xdr:col>
      <xdr:colOff>4895850</xdr:colOff>
      <xdr:row>101</xdr:row>
      <xdr:rowOff>114300</xdr:rowOff>
    </xdr:to>
    <xdr:pic>
      <xdr:nvPicPr>
        <xdr:cNvPr id="5127" name="Picture 7" descr="http://www.schwimmerlegal.com/smiley.jpg"/>
        <xdr:cNvPicPr>
          <a:picLocks noChangeAspect="1" noChangeArrowheads="1"/>
        </xdr:cNvPicPr>
      </xdr:nvPicPr>
      <xdr:blipFill>
        <a:blip xmlns:r="http://schemas.openxmlformats.org/officeDocument/2006/relationships" r:embed="rId6" cstate="print"/>
        <a:srcRect/>
        <a:stretch>
          <a:fillRect/>
        </a:stretch>
      </xdr:blipFill>
      <xdr:spPr bwMode="auto">
        <a:xfrm>
          <a:off x="9906000" y="20783550"/>
          <a:ext cx="295275" cy="304800"/>
        </a:xfrm>
        <a:prstGeom prst="rect">
          <a:avLst/>
        </a:prstGeom>
        <a:noFill/>
      </xdr:spPr>
    </xdr:pic>
    <xdr:clientData/>
  </xdr:twoCellAnchor>
  <xdr:twoCellAnchor>
    <xdr:from>
      <xdr:col>1</xdr:col>
      <xdr:colOff>4600575</xdr:colOff>
      <xdr:row>101</xdr:row>
      <xdr:rowOff>180975</xdr:rowOff>
    </xdr:from>
    <xdr:to>
      <xdr:col>1</xdr:col>
      <xdr:colOff>4895850</xdr:colOff>
      <xdr:row>103</xdr:row>
      <xdr:rowOff>104775</xdr:rowOff>
    </xdr:to>
    <xdr:pic>
      <xdr:nvPicPr>
        <xdr:cNvPr id="5126" name="Picture 6" descr="http://www.schwimmerlegal.com/smiley.jpg"/>
        <xdr:cNvPicPr>
          <a:picLocks noChangeAspect="1" noChangeArrowheads="1"/>
        </xdr:cNvPicPr>
      </xdr:nvPicPr>
      <xdr:blipFill>
        <a:blip xmlns:r="http://schemas.openxmlformats.org/officeDocument/2006/relationships" r:embed="rId6" cstate="print"/>
        <a:srcRect/>
        <a:stretch>
          <a:fillRect/>
        </a:stretch>
      </xdr:blipFill>
      <xdr:spPr bwMode="auto">
        <a:xfrm>
          <a:off x="9906000" y="21155025"/>
          <a:ext cx="295275" cy="304800"/>
        </a:xfrm>
        <a:prstGeom prst="rect">
          <a:avLst/>
        </a:prstGeom>
        <a:noFill/>
      </xdr:spPr>
    </xdr:pic>
    <xdr:clientData/>
  </xdr:twoCellAnchor>
  <xdr:twoCellAnchor>
    <xdr:from>
      <xdr:col>1</xdr:col>
      <xdr:colOff>4600575</xdr:colOff>
      <xdr:row>104</xdr:row>
      <xdr:rowOff>9525</xdr:rowOff>
    </xdr:from>
    <xdr:to>
      <xdr:col>1</xdr:col>
      <xdr:colOff>4895850</xdr:colOff>
      <xdr:row>105</xdr:row>
      <xdr:rowOff>123825</xdr:rowOff>
    </xdr:to>
    <xdr:pic>
      <xdr:nvPicPr>
        <xdr:cNvPr id="5125" name="Picture 5" descr="http://www.schwimmerlegal.com/smiley.jpg"/>
        <xdr:cNvPicPr>
          <a:picLocks noChangeAspect="1" noChangeArrowheads="1"/>
        </xdr:cNvPicPr>
      </xdr:nvPicPr>
      <xdr:blipFill>
        <a:blip xmlns:r="http://schemas.openxmlformats.org/officeDocument/2006/relationships" r:embed="rId6" cstate="print"/>
        <a:srcRect/>
        <a:stretch>
          <a:fillRect/>
        </a:stretch>
      </xdr:blipFill>
      <xdr:spPr bwMode="auto">
        <a:xfrm>
          <a:off x="9906000" y="21555075"/>
          <a:ext cx="295275" cy="304800"/>
        </a:xfrm>
        <a:prstGeom prst="rect">
          <a:avLst/>
        </a:prstGeom>
        <a:noFill/>
      </xdr:spPr>
    </xdr:pic>
    <xdr:clientData/>
  </xdr:twoCellAnchor>
  <xdr:twoCellAnchor>
    <xdr:from>
      <xdr:col>1</xdr:col>
      <xdr:colOff>4600575</xdr:colOff>
      <xdr:row>107</xdr:row>
      <xdr:rowOff>180975</xdr:rowOff>
    </xdr:from>
    <xdr:to>
      <xdr:col>1</xdr:col>
      <xdr:colOff>4895850</xdr:colOff>
      <xdr:row>109</xdr:row>
      <xdr:rowOff>104775</xdr:rowOff>
    </xdr:to>
    <xdr:pic>
      <xdr:nvPicPr>
        <xdr:cNvPr id="5124" name="Picture 4" descr="http://www.schwimmerlegal.com/smiley.jpg"/>
        <xdr:cNvPicPr>
          <a:picLocks noChangeAspect="1" noChangeArrowheads="1"/>
        </xdr:cNvPicPr>
      </xdr:nvPicPr>
      <xdr:blipFill>
        <a:blip xmlns:r="http://schemas.openxmlformats.org/officeDocument/2006/relationships" r:embed="rId6" cstate="print"/>
        <a:srcRect/>
        <a:stretch>
          <a:fillRect/>
        </a:stretch>
      </xdr:blipFill>
      <xdr:spPr bwMode="auto">
        <a:xfrm>
          <a:off x="9906000" y="22298025"/>
          <a:ext cx="295275" cy="304800"/>
        </a:xfrm>
        <a:prstGeom prst="rect">
          <a:avLst/>
        </a:prstGeom>
        <a:noFill/>
      </xdr:spPr>
    </xdr:pic>
    <xdr:clientData/>
  </xdr:twoCellAnchor>
  <xdr:twoCellAnchor>
    <xdr:from>
      <xdr:col>1</xdr:col>
      <xdr:colOff>4600575</xdr:colOff>
      <xdr:row>108</xdr:row>
      <xdr:rowOff>161925</xdr:rowOff>
    </xdr:from>
    <xdr:to>
      <xdr:col>1</xdr:col>
      <xdr:colOff>4895850</xdr:colOff>
      <xdr:row>110</xdr:row>
      <xdr:rowOff>85725</xdr:rowOff>
    </xdr:to>
    <xdr:pic>
      <xdr:nvPicPr>
        <xdr:cNvPr id="5123" name="Picture 3" descr="http://www.schwimmerlegal.com/smiley.jpg"/>
        <xdr:cNvPicPr>
          <a:picLocks noChangeAspect="1" noChangeArrowheads="1"/>
        </xdr:cNvPicPr>
      </xdr:nvPicPr>
      <xdr:blipFill>
        <a:blip xmlns:r="http://schemas.openxmlformats.org/officeDocument/2006/relationships" r:embed="rId6" cstate="print"/>
        <a:srcRect/>
        <a:stretch>
          <a:fillRect/>
        </a:stretch>
      </xdr:blipFill>
      <xdr:spPr bwMode="auto">
        <a:xfrm>
          <a:off x="9906000" y="22469475"/>
          <a:ext cx="295275" cy="304800"/>
        </a:xfrm>
        <a:prstGeom prst="rect">
          <a:avLst/>
        </a:prstGeom>
        <a:noFill/>
      </xdr:spPr>
    </xdr:pic>
    <xdr:clientData/>
  </xdr:twoCellAnchor>
  <xdr:twoCellAnchor>
    <xdr:from>
      <xdr:col>1</xdr:col>
      <xdr:colOff>4600575</xdr:colOff>
      <xdr:row>109</xdr:row>
      <xdr:rowOff>152400</xdr:rowOff>
    </xdr:from>
    <xdr:to>
      <xdr:col>1</xdr:col>
      <xdr:colOff>4895850</xdr:colOff>
      <xdr:row>111</xdr:row>
      <xdr:rowOff>76200</xdr:rowOff>
    </xdr:to>
    <xdr:pic>
      <xdr:nvPicPr>
        <xdr:cNvPr id="5122" name="Picture 2" descr="http://www.schwimmerlegal.com/smiley.jpg"/>
        <xdr:cNvPicPr>
          <a:picLocks noChangeAspect="1" noChangeArrowheads="1"/>
        </xdr:cNvPicPr>
      </xdr:nvPicPr>
      <xdr:blipFill>
        <a:blip xmlns:r="http://schemas.openxmlformats.org/officeDocument/2006/relationships" r:embed="rId6" cstate="print"/>
        <a:srcRect/>
        <a:stretch>
          <a:fillRect/>
        </a:stretch>
      </xdr:blipFill>
      <xdr:spPr bwMode="auto">
        <a:xfrm>
          <a:off x="9906000" y="22650450"/>
          <a:ext cx="295275" cy="304800"/>
        </a:xfrm>
        <a:prstGeom prst="rect">
          <a:avLst/>
        </a:prstGeom>
        <a:noFill/>
      </xdr:spPr>
    </xdr:pic>
    <xdr:clientData/>
  </xdr:twoCellAnchor>
  <xdr:twoCellAnchor>
    <xdr:from>
      <xdr:col>1</xdr:col>
      <xdr:colOff>4600575</xdr:colOff>
      <xdr:row>111</xdr:row>
      <xdr:rowOff>161925</xdr:rowOff>
    </xdr:from>
    <xdr:to>
      <xdr:col>1</xdr:col>
      <xdr:colOff>4895850</xdr:colOff>
      <xdr:row>113</xdr:row>
      <xdr:rowOff>85725</xdr:rowOff>
    </xdr:to>
    <xdr:pic>
      <xdr:nvPicPr>
        <xdr:cNvPr id="5121" name="Picture 1" descr="http://www.schwimmerlegal.com/smiley.jpg"/>
        <xdr:cNvPicPr>
          <a:picLocks noChangeAspect="1" noChangeArrowheads="1"/>
        </xdr:cNvPicPr>
      </xdr:nvPicPr>
      <xdr:blipFill>
        <a:blip xmlns:r="http://schemas.openxmlformats.org/officeDocument/2006/relationships" r:embed="rId6" cstate="print"/>
        <a:srcRect/>
        <a:stretch>
          <a:fillRect/>
        </a:stretch>
      </xdr:blipFill>
      <xdr:spPr bwMode="auto">
        <a:xfrm>
          <a:off x="9906000" y="23040975"/>
          <a:ext cx="295275" cy="3048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3" Type="http://schemas.openxmlformats.org/officeDocument/2006/relationships/hyperlink" Target="javascript:go('/search/redir.aspx?AssetID=HP052090731033&amp;CTT=5&amp;Origin=HP052042111033')" TargetMode="External"/><Relationship Id="rId18" Type="http://schemas.openxmlformats.org/officeDocument/2006/relationships/hyperlink" Target="javascript:go('/search/redir.aspx?AssetID=HP052093361033&amp;CTT=5&amp;Origin=HP052042111033')" TargetMode="External"/><Relationship Id="rId26" Type="http://schemas.openxmlformats.org/officeDocument/2006/relationships/hyperlink" Target="javascript:go('/search/redir.aspx?AssetID=HP052092251033&amp;CTT=5&amp;Origin=HP052042111033')" TargetMode="External"/><Relationship Id="rId39" Type="http://schemas.openxmlformats.org/officeDocument/2006/relationships/hyperlink" Target="javascript:go('/search/redir.aspx?AssetID=HP052089861033&amp;CTT=5&amp;Origin=HP052042111033')" TargetMode="External"/><Relationship Id="rId21" Type="http://schemas.openxmlformats.org/officeDocument/2006/relationships/hyperlink" Target="javascript:go('/search/redir.aspx?AssetID=HP052093431033&amp;CTT=5&amp;Origin=HP052042111033')" TargetMode="External"/><Relationship Id="rId34" Type="http://schemas.openxmlformats.org/officeDocument/2006/relationships/hyperlink" Target="javascript:go('/search/redir.aspx?AssetID=HP052091471033&amp;CTT=5&amp;Origin=HP052042111033')" TargetMode="External"/><Relationship Id="rId42" Type="http://schemas.openxmlformats.org/officeDocument/2006/relationships/hyperlink" Target="javascript:go('/search/redir.aspx?AssetID=HP052091961033&amp;CTT=5&amp;Origin=HP052042111033')" TargetMode="External"/><Relationship Id="rId47" Type="http://schemas.openxmlformats.org/officeDocument/2006/relationships/hyperlink" Target="javascript:go('/search/redir.aspx?AssetID=HP052091141033&amp;CTT=5&amp;Origin=HP052042111033')" TargetMode="External"/><Relationship Id="rId50" Type="http://schemas.openxmlformats.org/officeDocument/2006/relationships/hyperlink" Target="javascript:go('/search/redir.aspx?AssetID=HP052091631033&amp;CTT=5&amp;Origin=HP052042111033')" TargetMode="External"/><Relationship Id="rId55" Type="http://schemas.openxmlformats.org/officeDocument/2006/relationships/hyperlink" Target="javascript:go('/search/redir.aspx?AssetID=HP052092391033&amp;CTT=5&amp;Origin=HP052042111033')" TargetMode="External"/><Relationship Id="rId63" Type="http://schemas.openxmlformats.org/officeDocument/2006/relationships/hyperlink" Target="javascript:go('/search/redir.aspx?AssetID=HP052090261033&amp;CTT=5&amp;Origin=HP052042111033')" TargetMode="External"/><Relationship Id="rId68" Type="http://schemas.openxmlformats.org/officeDocument/2006/relationships/hyperlink" Target="javascript:go('/search/redir.aspx?AssetID=HP052091761033&amp;CTT=5&amp;Origin=HP052042111033')" TargetMode="External"/><Relationship Id="rId76" Type="http://schemas.openxmlformats.org/officeDocument/2006/relationships/hyperlink" Target="javascript:go('/search/redir.aspx?AssetID=HP052091751033&amp;CTT=5&amp;Origin=HP052042111033')" TargetMode="External"/><Relationship Id="rId84" Type="http://schemas.openxmlformats.org/officeDocument/2006/relationships/hyperlink" Target="javascript:go('/search/redir.aspx?AssetID=HP052093211033&amp;CTT=5&amp;Origin=HP052042111033')" TargetMode="External"/><Relationship Id="rId7" Type="http://schemas.openxmlformats.org/officeDocument/2006/relationships/hyperlink" Target="javascript:go('/search/redir.aspx?AssetID=HP052090661033&amp;CTT=5&amp;Origin=HP052042111033')" TargetMode="External"/><Relationship Id="rId71" Type="http://schemas.openxmlformats.org/officeDocument/2006/relationships/hyperlink" Target="javascript:go('/search/redir.aspx?AssetID=HP052090201033&amp;CTT=5&amp;Origin=HP052042111033')" TargetMode="External"/><Relationship Id="rId2" Type="http://schemas.openxmlformats.org/officeDocument/2006/relationships/hyperlink" Target="javascript:go('/search/redir.aspx?AssetID=HP052090491033&amp;CTT=5&amp;Origin=HP052042111033')" TargetMode="External"/><Relationship Id="rId16" Type="http://schemas.openxmlformats.org/officeDocument/2006/relationships/hyperlink" Target="javascript:go('/search/redir.aspx?AssetID=HP052091971033&amp;CTT=5&amp;Origin=HP052042111033')" TargetMode="External"/><Relationship Id="rId29" Type="http://schemas.openxmlformats.org/officeDocument/2006/relationships/hyperlink" Target="javascript:go('/search/redir.aspx?AssetID=HP052090081033&amp;CTT=5&amp;Origin=HP052042111033')" TargetMode="External"/><Relationship Id="rId11" Type="http://schemas.openxmlformats.org/officeDocument/2006/relationships/hyperlink" Target="javascript:go('/search/redir.aspx?AssetID=HP052090461033&amp;CTT=5&amp;Origin=HP052042111033')" TargetMode="External"/><Relationship Id="rId24" Type="http://schemas.openxmlformats.org/officeDocument/2006/relationships/hyperlink" Target="javascript:go('/search/redir.aspx?AssetID=HP052090991033&amp;CTT=5&amp;Origin=HP052042111033')" TargetMode="External"/><Relationship Id="rId32" Type="http://schemas.openxmlformats.org/officeDocument/2006/relationships/hyperlink" Target="javascript:go('/search/redir.aspx?AssetID=HP052091471033&amp;CTT=5&amp;Origin=HP052042111033')" TargetMode="External"/><Relationship Id="rId37" Type="http://schemas.openxmlformats.org/officeDocument/2006/relationships/hyperlink" Target="javascript:go('/search/redir.aspx?AssetID=HP052091471033&amp;CTT=5&amp;Origin=HP052042111033')" TargetMode="External"/><Relationship Id="rId40" Type="http://schemas.openxmlformats.org/officeDocument/2006/relationships/hyperlink" Target="javascript:go('/search/redir.aspx?AssetID=HP052090861033&amp;CTT=5&amp;Origin=HP052042111033')" TargetMode="External"/><Relationship Id="rId45" Type="http://schemas.openxmlformats.org/officeDocument/2006/relationships/hyperlink" Target="javascript:go('/search/redir.aspx?AssetID=HP052090131033&amp;CTT=5&amp;Origin=HP052042111033')" TargetMode="External"/><Relationship Id="rId53" Type="http://schemas.openxmlformats.org/officeDocument/2006/relationships/hyperlink" Target="javascript:go('/search/redir.aspx?AssetID=HP052092291033&amp;CTT=5&amp;Origin=HP052042111033')" TargetMode="External"/><Relationship Id="rId58" Type="http://schemas.openxmlformats.org/officeDocument/2006/relationships/hyperlink" Target="javascript:go('/search/redir.aspx?AssetID=HP052092551033&amp;CTT=5&amp;Origin=HP052042111033')" TargetMode="External"/><Relationship Id="rId66" Type="http://schemas.openxmlformats.org/officeDocument/2006/relationships/hyperlink" Target="javascript:go('/search/redir.aspx?AssetID=HP052090291033&amp;CTT=5&amp;Origin=HP052042111033')" TargetMode="External"/><Relationship Id="rId74" Type="http://schemas.openxmlformats.org/officeDocument/2006/relationships/hyperlink" Target="javascript:go('/search/redir.aspx?AssetID=HP052091541033&amp;CTT=5&amp;Origin=HP052042111033')" TargetMode="External"/><Relationship Id="rId79" Type="http://schemas.openxmlformats.org/officeDocument/2006/relationships/hyperlink" Target="javascript:go('/search/redir.aspx?AssetID=HP052092361033&amp;CTT=5&amp;Origin=HP052042111033')" TargetMode="External"/><Relationship Id="rId87" Type="http://schemas.openxmlformats.org/officeDocument/2006/relationships/printerSettings" Target="../printerSettings/printerSettings16.bin"/><Relationship Id="rId5" Type="http://schemas.openxmlformats.org/officeDocument/2006/relationships/hyperlink" Target="javascript:go('/search/redir.aspx?AssetID=HP052090611033&amp;CTT=5&amp;Origin=HP052042111033')" TargetMode="External"/><Relationship Id="rId61" Type="http://schemas.openxmlformats.org/officeDocument/2006/relationships/hyperlink" Target="javascript:go('/search/redir.aspx?AssetID=HP052092921033&amp;CTT=5&amp;Origin=HP052042111033')" TargetMode="External"/><Relationship Id="rId82" Type="http://schemas.openxmlformats.org/officeDocument/2006/relationships/hyperlink" Target="javascript:go('/search/redir.aspx?AssetID=HP052092861033&amp;CTT=5&amp;Origin=HP052042111033')" TargetMode="External"/><Relationship Id="rId19" Type="http://schemas.openxmlformats.org/officeDocument/2006/relationships/hyperlink" Target="javascript:go('/search/redir.aspx?AssetID=HP052093371033&amp;CTT=5&amp;Origin=HP052042111033')" TargetMode="External"/><Relationship Id="rId4" Type="http://schemas.openxmlformats.org/officeDocument/2006/relationships/hyperlink" Target="javascript:go('/search/redir.aspx?AssetID=HP052090591033&amp;CTT=5&amp;Origin=HP052042111033')" TargetMode="External"/><Relationship Id="rId9" Type="http://schemas.openxmlformats.org/officeDocument/2006/relationships/hyperlink" Target="javascript:go('/search/redir.aspx?AssetID=HP052090421033&amp;CTT=5&amp;Origin=HP052042111033')" TargetMode="External"/><Relationship Id="rId14" Type="http://schemas.openxmlformats.org/officeDocument/2006/relationships/hyperlink" Target="javascript:go('/search/redir.aspx?AssetID=HP052090761033&amp;CTT=5&amp;Origin=HP052042111033')" TargetMode="External"/><Relationship Id="rId22" Type="http://schemas.openxmlformats.org/officeDocument/2006/relationships/hyperlink" Target="javascript:go('/search/redir.aspx?AssetID=HP052090511033&amp;CTT=5&amp;Origin=HP052042111033')" TargetMode="External"/><Relationship Id="rId27" Type="http://schemas.openxmlformats.org/officeDocument/2006/relationships/hyperlink" Target="javascript:go('/search/redir.aspx?AssetID=HP052092631033&amp;CTT=5&amp;Origin=HP052042111033')" TargetMode="External"/><Relationship Id="rId30" Type="http://schemas.openxmlformats.org/officeDocument/2006/relationships/hyperlink" Target="javascript:go('/search/redir.aspx?AssetID=HP052090791033&amp;CTT=5&amp;Origin=HP052042111033')" TargetMode="External"/><Relationship Id="rId35" Type="http://schemas.openxmlformats.org/officeDocument/2006/relationships/hyperlink" Target="javascript:go('/search/redir.aspx?AssetID=HP052091471033&amp;CTT=5&amp;Origin=HP052042111033')" TargetMode="External"/><Relationship Id="rId43" Type="http://schemas.openxmlformats.org/officeDocument/2006/relationships/hyperlink" Target="javascript:go('/search/redir.aspx?AssetID=HP052092091033&amp;CTT=5&amp;Origin=HP052042111033')" TargetMode="External"/><Relationship Id="rId48" Type="http://schemas.openxmlformats.org/officeDocument/2006/relationships/hyperlink" Target="javascript:go('/search/redir.aspx?AssetID=HP052091161033&amp;CTT=5&amp;Origin=HP052042111033')" TargetMode="External"/><Relationship Id="rId56" Type="http://schemas.openxmlformats.org/officeDocument/2006/relationships/hyperlink" Target="javascript:go('/search/redir.aspx?AssetID=HP052092411033&amp;CTT=5&amp;Origin=HP052042111033')" TargetMode="External"/><Relationship Id="rId64" Type="http://schemas.openxmlformats.org/officeDocument/2006/relationships/hyperlink" Target="javascript:go('/search/redir.aspx?AssetID=HP052090271033&amp;CTT=5&amp;Origin=HP052042111033')" TargetMode="External"/><Relationship Id="rId69" Type="http://schemas.openxmlformats.org/officeDocument/2006/relationships/hyperlink" Target="javascript:go('/search/redir.aspx?AssetID=HP052092311033&amp;CTT=5&amp;Origin=HP052042111033')" TargetMode="External"/><Relationship Id="rId77" Type="http://schemas.openxmlformats.org/officeDocument/2006/relationships/hyperlink" Target="javascript:go('/search/redir.aspx?AssetID=HP052092241033&amp;CTT=5&amp;Origin=HP052042111033')" TargetMode="External"/><Relationship Id="rId8" Type="http://schemas.openxmlformats.org/officeDocument/2006/relationships/hyperlink" Target="javascript:go('/search/redir.aspx?AssetID=HP052090691033&amp;CTT=5&amp;Origin=HP052042111033')" TargetMode="External"/><Relationship Id="rId51" Type="http://schemas.openxmlformats.org/officeDocument/2006/relationships/hyperlink" Target="javascript:go('/search/redir.aspx?AssetID=HP052093191033&amp;CTT=5&amp;Origin=HP052042111033')" TargetMode="External"/><Relationship Id="rId72" Type="http://schemas.openxmlformats.org/officeDocument/2006/relationships/hyperlink" Target="javascript:go('/search/redir.aspx?AssetID=HP052090891033&amp;CTT=5&amp;Origin=HP052042111033')" TargetMode="External"/><Relationship Id="rId80" Type="http://schemas.openxmlformats.org/officeDocument/2006/relationships/hyperlink" Target="javascript:go('/search/redir.aspx?AssetID=HP052092371033&amp;CTT=5&amp;Origin=HP052042111033')" TargetMode="External"/><Relationship Id="rId85" Type="http://schemas.openxmlformats.org/officeDocument/2006/relationships/hyperlink" Target="javascript:go('/search/redir.aspx?AssetID=HP052093271033&amp;CTT=5&amp;Origin=HP052042111033')" TargetMode="External"/><Relationship Id="rId3" Type="http://schemas.openxmlformats.org/officeDocument/2006/relationships/hyperlink" Target="javascript:go('/search/redir.aspx?AssetID=HP052090501033&amp;CTT=5&amp;Origin=HP052042111033')" TargetMode="External"/><Relationship Id="rId12" Type="http://schemas.openxmlformats.org/officeDocument/2006/relationships/hyperlink" Target="javascript:go('/search/redir.aspx?AssetID=HP052090471033&amp;CTT=5&amp;Origin=HP052042111033')" TargetMode="External"/><Relationship Id="rId17" Type="http://schemas.openxmlformats.org/officeDocument/2006/relationships/hyperlink" Target="javascript:go('/search/redir.aspx?AssetID=HP052093181033&amp;CTT=5&amp;Origin=HP052042111033')" TargetMode="External"/><Relationship Id="rId25" Type="http://schemas.openxmlformats.org/officeDocument/2006/relationships/hyperlink" Target="javascript:go('/search/redir.aspx?AssetID=HP052092151033&amp;CTT=5&amp;Origin=HP052042111033')" TargetMode="External"/><Relationship Id="rId33" Type="http://schemas.openxmlformats.org/officeDocument/2006/relationships/hyperlink" Target="javascript:go('/search/redir.aspx?AssetID=HP052091471033&amp;CTT=5&amp;Origin=HP052042111033')" TargetMode="External"/><Relationship Id="rId38" Type="http://schemas.openxmlformats.org/officeDocument/2006/relationships/hyperlink" Target="javascript:go('/search/redir.aspx?AssetID=HP052091471033&amp;CTT=5&amp;Origin=HP052042111033')" TargetMode="External"/><Relationship Id="rId46" Type="http://schemas.openxmlformats.org/officeDocument/2006/relationships/hyperlink" Target="javascript:go('/search/redir.aspx?AssetID=HP052091071033&amp;CTT=5&amp;Origin=HP052042111033')" TargetMode="External"/><Relationship Id="rId59" Type="http://schemas.openxmlformats.org/officeDocument/2006/relationships/hyperlink" Target="javascript:go('/search/redir.aspx?AssetID=HP052092881033&amp;CTT=5&amp;Origin=HP052042111033')" TargetMode="External"/><Relationship Id="rId67" Type="http://schemas.openxmlformats.org/officeDocument/2006/relationships/hyperlink" Target="javascript:go('/search/redir.aspx?AssetID=HP052091701033&amp;CTT=5&amp;Origin=HP052042111033')" TargetMode="External"/><Relationship Id="rId20" Type="http://schemas.openxmlformats.org/officeDocument/2006/relationships/hyperlink" Target="javascript:go('/search/redir.aspx?AssetID=HP052093391033&amp;CTT=5&amp;Origin=HP052042111033')" TargetMode="External"/><Relationship Id="rId41" Type="http://schemas.openxmlformats.org/officeDocument/2006/relationships/hyperlink" Target="javascript:go('/search/redir.aspx?AssetID=HP052091181033&amp;CTT=5&amp;Origin=HP052042111033')" TargetMode="External"/><Relationship Id="rId54" Type="http://schemas.openxmlformats.org/officeDocument/2006/relationships/hyperlink" Target="javascript:go('/search/redir.aspx?AssetID=HP052092301033&amp;CTT=5&amp;Origin=HP052042111033')" TargetMode="External"/><Relationship Id="rId62" Type="http://schemas.openxmlformats.org/officeDocument/2006/relationships/hyperlink" Target="javascript:go('/search/redir.aspx?AssetID=HP052089941033&amp;CTT=5&amp;Origin=HP052042111033')" TargetMode="External"/><Relationship Id="rId70" Type="http://schemas.openxmlformats.org/officeDocument/2006/relationships/hyperlink" Target="javascript:go('/search/redir.aspx?AssetID=HP052090141033&amp;CTT=5&amp;Origin=HP052042111033')" TargetMode="External"/><Relationship Id="rId75" Type="http://schemas.openxmlformats.org/officeDocument/2006/relationships/hyperlink" Target="javascript:go('/search/redir.aspx?AssetID=HP052091671033&amp;CTT=5&amp;Origin=HP052042111033')" TargetMode="External"/><Relationship Id="rId83" Type="http://schemas.openxmlformats.org/officeDocument/2006/relationships/hyperlink" Target="javascript:go('/search/redir.aspx?AssetID=HP052093131033&amp;CTT=5&amp;Origin=HP052042111033')" TargetMode="External"/><Relationship Id="rId88" Type="http://schemas.openxmlformats.org/officeDocument/2006/relationships/drawing" Target="../drawings/drawing2.xml"/><Relationship Id="rId1" Type="http://schemas.openxmlformats.org/officeDocument/2006/relationships/hyperlink" Target="javascript:go('/search/redir.aspx?AssetID=HP052090451033&amp;CTT=5&amp;Origin=HP052042111033')" TargetMode="External"/><Relationship Id="rId6" Type="http://schemas.openxmlformats.org/officeDocument/2006/relationships/hyperlink" Target="javascript:go('/search/redir.aspx?AssetID=HP052090621033&amp;CTT=5&amp;Origin=HP052042111033')" TargetMode="External"/><Relationship Id="rId15" Type="http://schemas.openxmlformats.org/officeDocument/2006/relationships/hyperlink" Target="javascript:go('/search/redir.aspx?AssetID=HP052091841033&amp;CTT=5&amp;Origin=HP052042111033')" TargetMode="External"/><Relationship Id="rId23" Type="http://schemas.openxmlformats.org/officeDocument/2006/relationships/hyperlink" Target="javascript:go('/search/redir.aspx?AssetID=HP052090601033&amp;CTT=5&amp;Origin=HP052042111033')" TargetMode="External"/><Relationship Id="rId28" Type="http://schemas.openxmlformats.org/officeDocument/2006/relationships/hyperlink" Target="javascript:go('/search/redir.aspx?AssetID=HP052093021033&amp;CTT=5&amp;Origin=HP052042111033')" TargetMode="External"/><Relationship Id="rId36" Type="http://schemas.openxmlformats.org/officeDocument/2006/relationships/hyperlink" Target="javascript:go('/search/redir.aspx?AssetID=HP052091471033&amp;CTT=5&amp;Origin=HP052042111033')" TargetMode="External"/><Relationship Id="rId49" Type="http://schemas.openxmlformats.org/officeDocument/2006/relationships/hyperlink" Target="javascript:go('/search/redir.aspx?AssetID=HP052091381033&amp;CTT=5&amp;Origin=HP052042111033')" TargetMode="External"/><Relationship Id="rId57" Type="http://schemas.openxmlformats.org/officeDocument/2006/relationships/hyperlink" Target="javascript:go('/search/redir.aspx?AssetID=HP052092421033&amp;CTT=5&amp;Origin=HP052042111033')" TargetMode="External"/><Relationship Id="rId10" Type="http://schemas.openxmlformats.org/officeDocument/2006/relationships/hyperlink" Target="javascript:go('/search/redir.aspx?AssetID=HP052090441033&amp;CTT=5&amp;Origin=HP052042111033')" TargetMode="External"/><Relationship Id="rId31" Type="http://schemas.openxmlformats.org/officeDocument/2006/relationships/hyperlink" Target="javascript:go('/search/redir.aspx?AssetID=HP052091401033&amp;CTT=5&amp;Origin=HP052042111033')" TargetMode="External"/><Relationship Id="rId44" Type="http://schemas.openxmlformats.org/officeDocument/2006/relationships/hyperlink" Target="javascript:go('/search/redir.aspx?AssetID=HP052093231033&amp;CTT=5&amp;Origin=HP052042111033')" TargetMode="External"/><Relationship Id="rId52" Type="http://schemas.openxmlformats.org/officeDocument/2006/relationships/hyperlink" Target="javascript:go('/search/redir.aspx?AssetID=HP052093351033&amp;CTT=5&amp;Origin=HP052042111033')" TargetMode="External"/><Relationship Id="rId60" Type="http://schemas.openxmlformats.org/officeDocument/2006/relationships/hyperlink" Target="javascript:go('/search/redir.aspx?AssetID=HP052092901033&amp;CTT=5&amp;Origin=HP052042111033')" TargetMode="External"/><Relationship Id="rId65" Type="http://schemas.openxmlformats.org/officeDocument/2006/relationships/hyperlink" Target="javascript:go('/search/redir.aspx?AssetID=HP052090281033&amp;CTT=5&amp;Origin=HP052042111033')" TargetMode="External"/><Relationship Id="rId73" Type="http://schemas.openxmlformats.org/officeDocument/2006/relationships/hyperlink" Target="javascript:go('/search/redir.aspx?AssetID=HP052091531033&amp;CTT=5&amp;Origin=HP052042111033')" TargetMode="External"/><Relationship Id="rId78" Type="http://schemas.openxmlformats.org/officeDocument/2006/relationships/hyperlink" Target="javascript:go('/search/redir.aspx?AssetID=HP052092351033&amp;CTT=5&amp;Origin=HP052042111033')" TargetMode="External"/><Relationship Id="rId81" Type="http://schemas.openxmlformats.org/officeDocument/2006/relationships/hyperlink" Target="javascript:go('/search/redir.aspx?AssetID=HP052092491033&amp;CTT=5&amp;Origin=HP052042111033')" TargetMode="External"/><Relationship Id="rId86" Type="http://schemas.openxmlformats.org/officeDocument/2006/relationships/hyperlink" Target="javascript:go('/search/redir.aspx?AssetID=HP052093291033&amp;CTT=5&amp;Origin=HP05204211103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K22"/>
  <sheetViews>
    <sheetView tabSelected="1" workbookViewId="0">
      <selection activeCell="I4" sqref="I4"/>
    </sheetView>
  </sheetViews>
  <sheetFormatPr defaultRowHeight="15"/>
  <sheetData>
    <row r="1" spans="1:2" ht="27">
      <c r="A1" s="72" t="s">
        <v>360</v>
      </c>
      <c r="B1" s="6" t="s">
        <v>376</v>
      </c>
    </row>
    <row r="3" spans="1:2">
      <c r="A3" t="s">
        <v>361</v>
      </c>
    </row>
    <row r="4" spans="1:2">
      <c r="A4" t="s">
        <v>362</v>
      </c>
    </row>
    <row r="5" spans="1:2">
      <c r="A5" t="s">
        <v>363</v>
      </c>
    </row>
    <row r="6" spans="1:2">
      <c r="A6" t="s">
        <v>364</v>
      </c>
    </row>
    <row r="7" spans="1:2">
      <c r="A7" t="s">
        <v>371</v>
      </c>
    </row>
    <row r="8" spans="1:2">
      <c r="A8" t="s">
        <v>365</v>
      </c>
    </row>
    <row r="10" spans="1:2">
      <c r="A10" t="s">
        <v>366</v>
      </c>
    </row>
    <row r="11" spans="1:2">
      <c r="A11" t="s">
        <v>367</v>
      </c>
    </row>
    <row r="12" spans="1:2">
      <c r="A12" t="s">
        <v>368</v>
      </c>
    </row>
    <row r="13" spans="1:2">
      <c r="A13" t="s">
        <v>372</v>
      </c>
    </row>
    <row r="15" spans="1:2">
      <c r="A15" t="s">
        <v>369</v>
      </c>
    </row>
    <row r="16" spans="1:2">
      <c r="A16" t="s">
        <v>370</v>
      </c>
    </row>
    <row r="20" spans="11:11">
      <c r="K20" t="s">
        <v>373</v>
      </c>
    </row>
    <row r="21" spans="11:11">
      <c r="K21" t="s">
        <v>374</v>
      </c>
    </row>
    <row r="22" spans="11:11">
      <c r="K22" t="s">
        <v>375</v>
      </c>
    </row>
  </sheetData>
  <phoneticPr fontId="0" type="noConversion"/>
  <printOptions horizontalCentered="1"/>
  <pageMargins left="0.5" right="0.5" top="0.75" bottom="0.75" header="0.3" footer="0.3"/>
  <pageSetup scale="87" orientation="landscape" r:id="rId1"/>
  <headerFooter>
    <oddFooter>&amp;LBoni Mays
Fayetteville Technical Community College&amp;C&amp;P&amp;Rwww.maysstuff.com</oddFooter>
  </headerFooter>
  <drawing r:id="rId2"/>
</worksheet>
</file>

<file path=xl/worksheets/sheet10.xml><?xml version="1.0" encoding="utf-8"?>
<worksheet xmlns="http://schemas.openxmlformats.org/spreadsheetml/2006/main" xmlns:r="http://schemas.openxmlformats.org/officeDocument/2006/relationships">
  <sheetPr enableFormatConditionsCalculation="0">
    <pageSetUpPr fitToPage="1"/>
  </sheetPr>
  <dimension ref="A1:K26"/>
  <sheetViews>
    <sheetView workbookViewId="0">
      <selection activeCell="D2" sqref="D2"/>
    </sheetView>
  </sheetViews>
  <sheetFormatPr defaultRowHeight="15"/>
  <cols>
    <col min="1" max="1" width="15.7109375" customWidth="1"/>
    <col min="2" max="2" width="12.85546875" customWidth="1"/>
    <col min="3" max="3" width="4.7109375" customWidth="1"/>
    <col min="9" max="9" width="28.7109375" bestFit="1" customWidth="1"/>
    <col min="10" max="10" width="4.7109375" customWidth="1"/>
    <col min="11" max="11" width="63.85546875" customWidth="1"/>
  </cols>
  <sheetData>
    <row r="1" spans="1:11" ht="22.5">
      <c r="A1" s="6" t="s">
        <v>85</v>
      </c>
    </row>
    <row r="2" spans="1:11">
      <c r="A2" t="s">
        <v>115</v>
      </c>
    </row>
    <row r="4" spans="1:11" ht="18" thickBot="1">
      <c r="A4" s="18" t="s">
        <v>71</v>
      </c>
      <c r="B4" s="18" t="s">
        <v>101</v>
      </c>
      <c r="C4" s="18"/>
      <c r="D4" s="18"/>
      <c r="E4" s="18"/>
      <c r="F4" s="18"/>
      <c r="G4" s="18"/>
      <c r="H4" s="18"/>
      <c r="I4" s="18" t="s">
        <v>71</v>
      </c>
      <c r="J4" s="18"/>
      <c r="K4" s="18" t="s">
        <v>49</v>
      </c>
    </row>
    <row r="5" spans="1:11" ht="15.75" thickTop="1">
      <c r="A5" s="107" t="s">
        <v>99</v>
      </c>
      <c r="B5" s="108" t="s">
        <v>102</v>
      </c>
      <c r="C5" s="107"/>
      <c r="D5" s="107"/>
      <c r="E5" s="107"/>
      <c r="F5" s="107"/>
      <c r="G5" s="107"/>
      <c r="H5" s="107"/>
      <c r="I5" s="107"/>
      <c r="J5" s="107"/>
      <c r="K5" s="107"/>
    </row>
    <row r="6" spans="1:11">
      <c r="A6" t="s">
        <v>109</v>
      </c>
      <c r="B6" s="109" t="s">
        <v>104</v>
      </c>
      <c r="D6" s="110"/>
      <c r="E6" s="110" t="s">
        <v>103</v>
      </c>
      <c r="F6" s="110" t="s">
        <v>104</v>
      </c>
      <c r="G6" s="110" t="s">
        <v>105</v>
      </c>
      <c r="K6" t="s">
        <v>106</v>
      </c>
    </row>
    <row r="7" spans="1:11">
      <c r="A7" t="s">
        <v>110</v>
      </c>
      <c r="B7" s="111">
        <v>2</v>
      </c>
      <c r="D7" s="112">
        <v>2005</v>
      </c>
      <c r="E7" s="30">
        <v>2195</v>
      </c>
      <c r="F7" s="30">
        <v>2333</v>
      </c>
      <c r="G7" s="30">
        <v>1032</v>
      </c>
      <c r="I7" t="s">
        <v>120</v>
      </c>
      <c r="K7" t="s">
        <v>107</v>
      </c>
    </row>
    <row r="8" spans="1:11">
      <c r="D8" s="112">
        <v>2006</v>
      </c>
      <c r="E8" s="113">
        <v>1854</v>
      </c>
      <c r="F8" s="113">
        <v>2939</v>
      </c>
      <c r="G8" s="113">
        <v>2040</v>
      </c>
      <c r="I8" t="s">
        <v>113</v>
      </c>
      <c r="K8" t="s">
        <v>108</v>
      </c>
    </row>
    <row r="9" spans="1:11">
      <c r="A9" t="s">
        <v>111</v>
      </c>
      <c r="B9" s="114">
        <f>HLOOKUP(B6,D6:G9,B7,0)</f>
        <v>2333</v>
      </c>
      <c r="D9" s="112">
        <v>2007</v>
      </c>
      <c r="E9" s="30">
        <v>2847</v>
      </c>
      <c r="F9" s="30">
        <v>1325</v>
      </c>
      <c r="G9" s="30">
        <v>1203</v>
      </c>
      <c r="I9" s="2" t="s">
        <v>112</v>
      </c>
      <c r="K9" t="s">
        <v>438</v>
      </c>
    </row>
    <row r="10" spans="1:11" ht="45">
      <c r="I10" s="31" t="s">
        <v>439</v>
      </c>
      <c r="K10" s="31" t="s">
        <v>440</v>
      </c>
    </row>
    <row r="11" spans="1:11">
      <c r="A11" s="115">
        <v>15</v>
      </c>
      <c r="B11" s="115" t="str">
        <f>HLOOKUP(A11,D11:G12,2)</f>
        <v>Blue</v>
      </c>
      <c r="D11" s="116">
        <v>0</v>
      </c>
      <c r="E11" s="116">
        <v>25</v>
      </c>
      <c r="F11" s="116">
        <v>50</v>
      </c>
      <c r="G11" s="116">
        <v>75</v>
      </c>
      <c r="I11" s="2" t="s">
        <v>125</v>
      </c>
      <c r="K11" s="31"/>
    </row>
    <row r="12" spans="1:11">
      <c r="A12" s="115">
        <v>51</v>
      </c>
      <c r="B12" s="115" t="str">
        <f>HLOOKUP(A12,D11:G12,2)</f>
        <v>Red</v>
      </c>
      <c r="D12" s="116" t="s">
        <v>121</v>
      </c>
      <c r="E12" s="116" t="s">
        <v>122</v>
      </c>
      <c r="F12" s="116" t="s">
        <v>123</v>
      </c>
      <c r="G12" s="116" t="s">
        <v>124</v>
      </c>
      <c r="I12" s="2" t="s">
        <v>126</v>
      </c>
      <c r="K12" s="31"/>
    </row>
    <row r="13" spans="1:11">
      <c r="A13" s="115">
        <v>90</v>
      </c>
      <c r="B13" s="115" t="str">
        <f>HLOOKUP(A13,D11:G12,2)</f>
        <v>Yellow</v>
      </c>
      <c r="I13" s="2" t="s">
        <v>127</v>
      </c>
      <c r="K13" s="31"/>
    </row>
    <row r="14" spans="1:11">
      <c r="K14" s="31"/>
    </row>
    <row r="16" spans="1:11">
      <c r="A16" s="107" t="s">
        <v>100</v>
      </c>
      <c r="B16" s="108" t="s">
        <v>116</v>
      </c>
      <c r="C16" s="107"/>
      <c r="D16" s="107"/>
      <c r="E16" s="107"/>
      <c r="F16" s="107"/>
      <c r="G16" s="107"/>
      <c r="H16" s="107"/>
      <c r="I16" s="107"/>
      <c r="J16" s="107"/>
      <c r="K16" s="107"/>
    </row>
    <row r="17" spans="1:11">
      <c r="A17" t="s">
        <v>109</v>
      </c>
      <c r="B17" s="117">
        <v>2006</v>
      </c>
      <c r="D17" s="110"/>
      <c r="E17" s="110" t="s">
        <v>103</v>
      </c>
      <c r="F17" s="110" t="s">
        <v>104</v>
      </c>
      <c r="G17" s="110" t="s">
        <v>105</v>
      </c>
      <c r="K17" t="s">
        <v>119</v>
      </c>
    </row>
    <row r="18" spans="1:11">
      <c r="A18" t="s">
        <v>117</v>
      </c>
      <c r="B18" s="118">
        <v>2</v>
      </c>
      <c r="D18" s="112">
        <v>2005</v>
      </c>
      <c r="E18" s="30">
        <v>2195</v>
      </c>
      <c r="F18" s="30">
        <v>2333</v>
      </c>
      <c r="G18" s="30">
        <v>1032</v>
      </c>
      <c r="I18" t="s">
        <v>120</v>
      </c>
      <c r="K18" t="s">
        <v>118</v>
      </c>
    </row>
    <row r="19" spans="1:11">
      <c r="D19" s="112">
        <v>2006</v>
      </c>
      <c r="E19" s="113">
        <v>1854</v>
      </c>
      <c r="F19" s="113">
        <v>2939</v>
      </c>
      <c r="G19" s="113">
        <v>2040</v>
      </c>
      <c r="I19" t="s">
        <v>128</v>
      </c>
      <c r="K19" t="s">
        <v>108</v>
      </c>
    </row>
    <row r="20" spans="1:11">
      <c r="A20" t="s">
        <v>111</v>
      </c>
      <c r="B20" s="119">
        <f>VLOOKUP(B17,D17:G20,B18,0)</f>
        <v>1854</v>
      </c>
      <c r="D20" s="112">
        <v>2007</v>
      </c>
      <c r="E20" s="30">
        <v>2847</v>
      </c>
      <c r="F20" s="30">
        <v>1325</v>
      </c>
      <c r="G20" s="30">
        <v>1203</v>
      </c>
      <c r="I20" s="2" t="s">
        <v>129</v>
      </c>
      <c r="K20" t="s">
        <v>441</v>
      </c>
    </row>
    <row r="21" spans="1:11" ht="45">
      <c r="A21" s="58" t="s">
        <v>357</v>
      </c>
      <c r="B21" s="58" t="s">
        <v>358</v>
      </c>
      <c r="C21" s="58"/>
      <c r="D21" s="58" t="s">
        <v>359</v>
      </c>
      <c r="E21" s="58" t="s">
        <v>358</v>
      </c>
      <c r="I21" s="31" t="s">
        <v>439</v>
      </c>
      <c r="K21" s="31" t="s">
        <v>442</v>
      </c>
    </row>
    <row r="22" spans="1:11">
      <c r="A22" s="115">
        <v>83</v>
      </c>
      <c r="B22" s="115" t="str">
        <f>VLOOKUP(A22,$D$22:$E$26,2)</f>
        <v>B</v>
      </c>
      <c r="D22" s="115">
        <v>0</v>
      </c>
      <c r="E22" s="115" t="s">
        <v>114</v>
      </c>
      <c r="I22" s="2" t="s">
        <v>130</v>
      </c>
    </row>
    <row r="23" spans="1:11">
      <c r="A23" s="115">
        <v>72</v>
      </c>
      <c r="B23" s="115" t="str">
        <f>VLOOKUP(A23,$D$22:$E$26,2)</f>
        <v>C</v>
      </c>
      <c r="D23" s="115">
        <v>60</v>
      </c>
      <c r="E23" s="115" t="s">
        <v>17</v>
      </c>
      <c r="I23" s="2" t="s">
        <v>131</v>
      </c>
    </row>
    <row r="24" spans="1:11">
      <c r="A24" s="115">
        <v>99</v>
      </c>
      <c r="B24" s="115" t="str">
        <f>VLOOKUP(A24,$D$22:$E$26,2)</f>
        <v>A</v>
      </c>
      <c r="D24" s="115">
        <v>70</v>
      </c>
      <c r="E24" s="115" t="s">
        <v>16</v>
      </c>
      <c r="I24" s="2" t="s">
        <v>132</v>
      </c>
    </row>
    <row r="25" spans="1:11">
      <c r="A25" s="115">
        <v>55</v>
      </c>
      <c r="B25" s="115" t="str">
        <f>VLOOKUP(A25,$D$22:$E$26,2)</f>
        <v>E</v>
      </c>
      <c r="D25" s="115">
        <v>80</v>
      </c>
      <c r="E25" s="115" t="s">
        <v>15</v>
      </c>
      <c r="I25" s="2" t="s">
        <v>133</v>
      </c>
    </row>
    <row r="26" spans="1:11">
      <c r="A26" s="115">
        <v>90</v>
      </c>
      <c r="B26" s="115" t="str">
        <f>VLOOKUP(A26,$D$22:$E$26,2)</f>
        <v>A</v>
      </c>
      <c r="D26" s="115">
        <v>90</v>
      </c>
      <c r="E26" s="115" t="s">
        <v>14</v>
      </c>
      <c r="I26" s="2" t="s">
        <v>134</v>
      </c>
    </row>
  </sheetData>
  <phoneticPr fontId="0" type="noConversion"/>
  <printOptions horizontalCentered="1"/>
  <pageMargins left="0.5" right="0.5" top="0.75" bottom="0.75" header="0.3" footer="0.3"/>
  <pageSetup scale="72" orientation="landscape" r:id="rId1"/>
  <headerFooter alignWithMargins="0">
    <oddFooter>&amp;LBoni Mays
Fayetteville Technical Community College&amp;C&amp;P&amp;Rwww.maysstuff.com</oddFooter>
  </headerFooter>
</worksheet>
</file>

<file path=xl/worksheets/sheet11.xml><?xml version="1.0" encoding="utf-8"?>
<worksheet xmlns="http://schemas.openxmlformats.org/spreadsheetml/2006/main" xmlns:r="http://schemas.openxmlformats.org/officeDocument/2006/relationships">
  <dimension ref="A1:F30"/>
  <sheetViews>
    <sheetView workbookViewId="0"/>
  </sheetViews>
  <sheetFormatPr defaultRowHeight="15"/>
  <cols>
    <col min="1" max="1" width="16.5703125" style="44" customWidth="1"/>
    <col min="2" max="2" width="24.85546875" style="44" bestFit="1" customWidth="1"/>
    <col min="3" max="5" width="12.7109375" style="44" customWidth="1"/>
    <col min="6" max="6" width="78.42578125" style="44" customWidth="1"/>
    <col min="7" max="16384" width="9.140625" style="44"/>
  </cols>
  <sheetData>
    <row r="1" spans="1:4" ht="22.5">
      <c r="A1" s="43" t="s">
        <v>100</v>
      </c>
    </row>
    <row r="2" spans="1:4">
      <c r="A2" s="44" t="s">
        <v>343</v>
      </c>
    </row>
    <row r="3" spans="1:4">
      <c r="A3" s="44" t="s">
        <v>349</v>
      </c>
    </row>
    <row r="5" spans="1:4">
      <c r="A5" s="45" t="s">
        <v>258</v>
      </c>
    </row>
    <row r="8" spans="1:4">
      <c r="A8" s="46" t="s">
        <v>186</v>
      </c>
      <c r="B8" s="47">
        <v>3333</v>
      </c>
      <c r="C8" s="48"/>
      <c r="D8" s="44" t="s">
        <v>356</v>
      </c>
    </row>
    <row r="9" spans="1:4">
      <c r="A9" s="46" t="s">
        <v>187</v>
      </c>
      <c r="B9" s="54" t="str">
        <f>VLOOKUP(B8,'Lookup Tables'!A4:H14,3,0)&amp;" "&amp;VLOOKUP(B8,'Lookup Tables'!A4:H14,2,0)</f>
        <v>Ella Arteaga</v>
      </c>
      <c r="C9" s="48"/>
      <c r="D9" s="44" t="s">
        <v>265</v>
      </c>
    </row>
    <row r="10" spans="1:4">
      <c r="D10" s="44" t="s">
        <v>259</v>
      </c>
    </row>
    <row r="11" spans="1:4">
      <c r="A11" s="251" t="s">
        <v>176</v>
      </c>
      <c r="B11" s="252"/>
      <c r="D11" s="44" t="s">
        <v>260</v>
      </c>
    </row>
    <row r="12" spans="1:4">
      <c r="A12" s="46" t="s">
        <v>177</v>
      </c>
      <c r="B12" s="54" t="str">
        <f>VLOOKUP($B$8,'Lookup Tables'!$A$4:$H$14,4,0)</f>
        <v>58 Langley Avenue</v>
      </c>
      <c r="D12" s="44" t="s">
        <v>261</v>
      </c>
    </row>
    <row r="13" spans="1:4">
      <c r="A13" s="46" t="s">
        <v>178</v>
      </c>
      <c r="B13" s="54" t="str">
        <f>VLOOKUP($B$8,'Lookup Tables'!$A$4:$H$14,5,0)</f>
        <v>Aurora</v>
      </c>
      <c r="D13" s="44" t="s">
        <v>270</v>
      </c>
    </row>
    <row r="14" spans="1:4">
      <c r="A14" s="46" t="s">
        <v>179</v>
      </c>
      <c r="B14" s="54" t="str">
        <f>VLOOKUP($B$8,'Lookup Tables'!$A$4:$H$14,6,0)</f>
        <v>NC</v>
      </c>
      <c r="D14" s="44" t="s">
        <v>262</v>
      </c>
    </row>
    <row r="15" spans="1:4">
      <c r="A15" s="46" t="s">
        <v>180</v>
      </c>
      <c r="B15" s="52">
        <f>VLOOKUP($B$8,'Lookup Tables'!$A$4:$H$14,7,0)</f>
        <v>28307</v>
      </c>
      <c r="D15" s="44" t="s">
        <v>264</v>
      </c>
    </row>
    <row r="16" spans="1:4">
      <c r="D16" s="44" t="s">
        <v>263</v>
      </c>
    </row>
    <row r="17" spans="1:6">
      <c r="A17" s="50" t="s">
        <v>181</v>
      </c>
    </row>
    <row r="18" spans="1:6">
      <c r="A18" s="46" t="s">
        <v>246</v>
      </c>
      <c r="B18" s="46" t="s">
        <v>182</v>
      </c>
      <c r="C18" s="51" t="s">
        <v>183</v>
      </c>
      <c r="D18" s="51" t="s">
        <v>184</v>
      </c>
      <c r="E18" s="51" t="s">
        <v>185</v>
      </c>
      <c r="F18" s="55" t="s">
        <v>271</v>
      </c>
    </row>
    <row r="19" spans="1:6">
      <c r="A19" s="49">
        <v>333</v>
      </c>
      <c r="B19" s="52" t="str">
        <f>VLOOKUP(A19,'Lookup Tables'!A17:C27,2)</f>
        <v>Thingamagig</v>
      </c>
      <c r="C19" s="53">
        <f>VLOOKUP(A19,'Lookup Tables'!A17:C27,3)</f>
        <v>32</v>
      </c>
      <c r="D19" s="49">
        <v>2</v>
      </c>
      <c r="E19" s="53">
        <f t="shared" ref="E19:E24" si="0">IF(D19&lt;&gt;0,D19*C19,"")</f>
        <v>64</v>
      </c>
      <c r="F19" s="55" t="s">
        <v>268</v>
      </c>
    </row>
    <row r="20" spans="1:6">
      <c r="A20" s="49">
        <v>111</v>
      </c>
      <c r="B20" s="52" t="str">
        <f>IF(A20&lt;&gt;"",VLOOKUP(A20,'Lookup Tables'!$A$17:$C$27,2,0),"")</f>
        <v>Widget</v>
      </c>
      <c r="C20" s="53">
        <f>IF(A20&lt;&gt;"",VLOOKUP(A20,'Lookup Tables'!$A$17:$C$27,3,0),"")</f>
        <v>28</v>
      </c>
      <c r="D20" s="49">
        <v>1</v>
      </c>
      <c r="E20" s="53">
        <f t="shared" si="0"/>
        <v>28</v>
      </c>
      <c r="F20" s="55" t="s">
        <v>269</v>
      </c>
    </row>
    <row r="21" spans="1:6">
      <c r="A21" s="49">
        <v>888</v>
      </c>
      <c r="B21" s="52" t="str">
        <f>IF(A21&lt;&gt;"",VLOOKUP(A21,'Lookup Tables'!$A$17:$C$27,2,0),"")</f>
        <v>Geehaw</v>
      </c>
      <c r="C21" s="53">
        <f>IF(A21&lt;&gt;"",VLOOKUP(A21,'Lookup Tables'!$A$17:$C$27,3,0),"")</f>
        <v>27</v>
      </c>
      <c r="D21" s="49">
        <v>1</v>
      </c>
      <c r="E21" s="53">
        <f t="shared" si="0"/>
        <v>27</v>
      </c>
    </row>
    <row r="22" spans="1:6">
      <c r="A22" s="49"/>
      <c r="B22" s="52" t="str">
        <f>IF(A22&lt;&gt;"",VLOOKUP(A22,'Lookup Tables'!$A$17:$C$27,2,0),"")</f>
        <v/>
      </c>
      <c r="C22" s="53" t="str">
        <f>IF(A22&lt;&gt;"",VLOOKUP(A22,'Lookup Tables'!$A$17:$C$27,3,0),"")</f>
        <v/>
      </c>
      <c r="D22" s="49"/>
      <c r="E22" s="53" t="str">
        <f t="shared" si="0"/>
        <v/>
      </c>
    </row>
    <row r="23" spans="1:6">
      <c r="A23" s="49"/>
      <c r="B23" s="52" t="str">
        <f>IF(A23&lt;&gt;"",VLOOKUP(A23,'Lookup Tables'!$A$17:$C$27,2,0),"")</f>
        <v/>
      </c>
      <c r="C23" s="53" t="str">
        <f>IF(A23&lt;&gt;"",VLOOKUP(A23,'Lookup Tables'!$A$17:$C$27,3,0),"")</f>
        <v/>
      </c>
      <c r="D23" s="49"/>
      <c r="E23" s="53" t="str">
        <f t="shared" si="0"/>
        <v/>
      </c>
      <c r="F23" s="55" t="s">
        <v>266</v>
      </c>
    </row>
    <row r="24" spans="1:6">
      <c r="A24" s="49"/>
      <c r="B24" s="52" t="str">
        <f>IF(A24&lt;&gt;"",VLOOKUP(A24,'Lookup Tables'!$A$17:$C$27,2,0),"")</f>
        <v/>
      </c>
      <c r="C24" s="53" t="str">
        <f>IF(A24&lt;&gt;"",VLOOKUP(A24,'Lookup Tables'!$A$17:$C$27,3,0),"")</f>
        <v/>
      </c>
      <c r="D24" s="49"/>
      <c r="E24" s="53" t="str">
        <f t="shared" si="0"/>
        <v/>
      </c>
      <c r="F24" s="55" t="s">
        <v>267</v>
      </c>
    </row>
    <row r="26" spans="1:6">
      <c r="A26" s="44" t="s">
        <v>273</v>
      </c>
    </row>
    <row r="27" spans="1:6">
      <c r="A27" s="44" t="s">
        <v>272</v>
      </c>
    </row>
    <row r="29" spans="1:6">
      <c r="A29" s="44" t="s">
        <v>274</v>
      </c>
    </row>
    <row r="30" spans="1:6">
      <c r="A30" s="44" t="s">
        <v>346</v>
      </c>
    </row>
  </sheetData>
  <sheetProtection password="E8DA" sheet="1" objects="1" scenarios="1"/>
  <mergeCells count="1">
    <mergeCell ref="A11:B11"/>
  </mergeCells>
  <phoneticPr fontId="0" type="noConversion"/>
  <printOptions horizontalCentered="1"/>
  <pageMargins left="0.5" right="0.5" top="0.75" bottom="0.75" header="0.3" footer="0.3"/>
  <pageSetup scale="80" orientation="landscape" r:id="rId1"/>
  <headerFooter>
    <oddFooter>&amp;LBoni Mays
Fayetteville Technical Community College&amp;C&amp;P&amp;Rwww.maysstuff.com</oddFooter>
  </headerFooter>
</worksheet>
</file>

<file path=xl/worksheets/sheet12.xml><?xml version="1.0" encoding="utf-8"?>
<worksheet xmlns="http://schemas.openxmlformats.org/spreadsheetml/2006/main" xmlns:r="http://schemas.openxmlformats.org/officeDocument/2006/relationships">
  <dimension ref="A1:F33"/>
  <sheetViews>
    <sheetView workbookViewId="0"/>
  </sheetViews>
  <sheetFormatPr defaultRowHeight="15"/>
  <cols>
    <col min="1" max="1" width="17.7109375" customWidth="1"/>
    <col min="2" max="2" width="14.5703125" customWidth="1"/>
    <col min="3" max="3" width="13.7109375" customWidth="1"/>
    <col min="4" max="4" width="50.42578125" customWidth="1"/>
    <col min="5" max="5" width="27.85546875" customWidth="1"/>
    <col min="6" max="6" width="34.85546875" customWidth="1"/>
  </cols>
  <sheetData>
    <row r="1" spans="1:6" ht="22.5">
      <c r="A1" s="6" t="s">
        <v>135</v>
      </c>
    </row>
    <row r="2" spans="1:6">
      <c r="A2" t="s">
        <v>144</v>
      </c>
    </row>
    <row r="3" spans="1:6">
      <c r="A3" t="s">
        <v>145</v>
      </c>
    </row>
    <row r="4" spans="1:6">
      <c r="A4" t="s">
        <v>64</v>
      </c>
    </row>
    <row r="6" spans="1:6" ht="18" thickBot="1">
      <c r="A6" s="18" t="s">
        <v>136</v>
      </c>
      <c r="B6" s="18"/>
      <c r="C6" s="18"/>
      <c r="D6" s="18"/>
      <c r="E6" s="27" t="s">
        <v>96</v>
      </c>
      <c r="F6" s="18" t="s">
        <v>142</v>
      </c>
    </row>
    <row r="7" spans="1:6" ht="15.75" thickTop="1">
      <c r="A7" s="8" t="s">
        <v>137</v>
      </c>
      <c r="B7" s="29"/>
      <c r="C7" s="3"/>
      <c r="D7" s="3"/>
      <c r="E7" s="3"/>
      <c r="F7" s="3"/>
    </row>
    <row r="8" spans="1:6">
      <c r="A8" s="32">
        <v>0.39583333333333298</v>
      </c>
      <c r="B8" s="32">
        <v>0.70833333333333304</v>
      </c>
      <c r="C8" s="34">
        <f>B8-A8</f>
        <v>0.31250000000000006</v>
      </c>
      <c r="D8" s="19" t="s">
        <v>138</v>
      </c>
      <c r="E8" s="2" t="s">
        <v>139</v>
      </c>
      <c r="F8" t="s">
        <v>143</v>
      </c>
    </row>
    <row r="9" spans="1:6">
      <c r="A9" s="1"/>
      <c r="B9" s="1"/>
      <c r="D9" s="19"/>
      <c r="E9" s="2"/>
    </row>
    <row r="10" spans="1:6">
      <c r="A10" s="8" t="s">
        <v>140</v>
      </c>
      <c r="B10" s="3"/>
      <c r="C10" s="3"/>
      <c r="D10" s="3"/>
      <c r="E10" s="3"/>
      <c r="F10" s="3"/>
    </row>
    <row r="11" spans="1:6">
      <c r="A11" s="35">
        <v>0.54166666666666696</v>
      </c>
      <c r="B11" s="35">
        <v>0.5</v>
      </c>
      <c r="C11" s="34">
        <f>SUM(A11:B11)</f>
        <v>1.041666666666667</v>
      </c>
      <c r="D11" s="19" t="s">
        <v>141</v>
      </c>
      <c r="E11" s="2" t="s">
        <v>95</v>
      </c>
      <c r="F11" t="s">
        <v>143</v>
      </c>
    </row>
    <row r="12" spans="1:6">
      <c r="A12" s="1"/>
      <c r="C12" s="1"/>
      <c r="D12" s="19"/>
      <c r="E12" s="2"/>
    </row>
    <row r="13" spans="1:6" ht="18" thickBot="1">
      <c r="A13" s="21" t="s">
        <v>135</v>
      </c>
      <c r="B13" s="18"/>
      <c r="C13" s="21"/>
      <c r="D13" s="22"/>
      <c r="E13" s="18" t="s">
        <v>98</v>
      </c>
      <c r="F13" s="18" t="s">
        <v>49</v>
      </c>
    </row>
    <row r="14" spans="1:6" ht="15.75" thickTop="1">
      <c r="A14" s="8" t="s">
        <v>146</v>
      </c>
      <c r="B14" s="29" t="s">
        <v>150</v>
      </c>
      <c r="C14" s="3"/>
      <c r="D14" s="3"/>
      <c r="E14" s="8"/>
      <c r="F14" s="3"/>
    </row>
    <row r="15" spans="1:6">
      <c r="A15" s="36">
        <v>0.607951388888889</v>
      </c>
      <c r="B15">
        <f>HOUR(A15)</f>
        <v>14</v>
      </c>
      <c r="C15" s="1"/>
      <c r="D15" s="19"/>
      <c r="E15" s="2" t="s">
        <v>147</v>
      </c>
      <c r="F15" t="s">
        <v>148</v>
      </c>
    </row>
    <row r="16" spans="1:6">
      <c r="A16" s="1"/>
      <c r="C16" s="1"/>
      <c r="D16" s="19"/>
      <c r="E16" s="2"/>
    </row>
    <row r="17" spans="1:6">
      <c r="A17" s="8" t="s">
        <v>149</v>
      </c>
      <c r="B17" s="29" t="s">
        <v>151</v>
      </c>
      <c r="C17" s="3"/>
      <c r="D17" s="20"/>
      <c r="E17" s="8"/>
      <c r="F17" s="3"/>
    </row>
    <row r="18" spans="1:6">
      <c r="A18" s="36">
        <v>0.607951388888889</v>
      </c>
      <c r="B18">
        <f>MINUTE(A18)</f>
        <v>35</v>
      </c>
      <c r="C18" s="1"/>
      <c r="D18" s="19"/>
      <c r="E18" s="37" t="s">
        <v>152</v>
      </c>
      <c r="F18" t="s">
        <v>153</v>
      </c>
    </row>
    <row r="19" spans="1:6">
      <c r="A19" s="1"/>
      <c r="C19" s="1"/>
      <c r="D19" s="19"/>
      <c r="E19" s="2"/>
    </row>
    <row r="20" spans="1:6">
      <c r="A20" s="38" t="s">
        <v>155</v>
      </c>
      <c r="B20" s="29" t="s">
        <v>156</v>
      </c>
      <c r="C20" s="3"/>
      <c r="D20" s="3"/>
      <c r="E20" s="8"/>
      <c r="F20" s="3"/>
    </row>
    <row r="21" spans="1:6">
      <c r="A21" s="36">
        <v>0.607951388888889</v>
      </c>
      <c r="B21" s="33">
        <f>SECOND(A21)</f>
        <v>27</v>
      </c>
      <c r="D21" s="19"/>
      <c r="E21" s="2" t="s">
        <v>157</v>
      </c>
      <c r="F21" t="s">
        <v>154</v>
      </c>
    </row>
    <row r="22" spans="1:6">
      <c r="A22" s="24"/>
      <c r="B22" s="24"/>
      <c r="C22" s="17"/>
      <c r="D22" s="26"/>
      <c r="E22" s="25"/>
      <c r="F22" s="23"/>
    </row>
    <row r="23" spans="1:6">
      <c r="A23" s="38" t="s">
        <v>158</v>
      </c>
      <c r="B23" s="29" t="s">
        <v>172</v>
      </c>
      <c r="C23" s="3"/>
      <c r="D23" s="3"/>
      <c r="E23" s="8"/>
      <c r="F23" s="3"/>
    </row>
    <row r="24" spans="1:6">
      <c r="A24" s="33">
        <v>14</v>
      </c>
      <c r="B24" s="36">
        <f>TIME(A24,A25,A26)</f>
        <v>0.60795138888888889</v>
      </c>
      <c r="C24" s="33">
        <f>TIME(A24,A25,A26)</f>
        <v>0.60795138888888889</v>
      </c>
      <c r="D24" s="19" t="s">
        <v>159</v>
      </c>
      <c r="E24" s="2" t="s">
        <v>160</v>
      </c>
      <c r="F24" t="s">
        <v>348</v>
      </c>
    </row>
    <row r="25" spans="1:6">
      <c r="A25" s="33">
        <v>35</v>
      </c>
      <c r="C25" s="1"/>
      <c r="D25" s="19"/>
      <c r="E25" s="2"/>
    </row>
    <row r="26" spans="1:6">
      <c r="A26" s="33">
        <v>27</v>
      </c>
      <c r="C26" s="1"/>
      <c r="D26" s="19"/>
      <c r="E26" s="2"/>
    </row>
    <row r="28" spans="1:6">
      <c r="A28" s="38" t="s">
        <v>164</v>
      </c>
      <c r="B28" s="29" t="s">
        <v>161</v>
      </c>
      <c r="C28" s="3"/>
      <c r="D28" s="3"/>
      <c r="E28" s="8"/>
      <c r="F28" s="3"/>
    </row>
    <row r="29" spans="1:6">
      <c r="A29" s="2" t="s">
        <v>163</v>
      </c>
      <c r="B29" s="36">
        <f>TIMEVALUE(A29)</f>
        <v>0.60795138888888889</v>
      </c>
      <c r="E29" s="2" t="s">
        <v>173</v>
      </c>
      <c r="F29" t="s">
        <v>162</v>
      </c>
    </row>
    <row r="31" spans="1:6">
      <c r="A31" s="38" t="s">
        <v>165</v>
      </c>
      <c r="B31" s="29" t="s">
        <v>168</v>
      </c>
      <c r="C31" s="3"/>
      <c r="D31" s="3"/>
      <c r="E31" s="8"/>
      <c r="F31" s="3"/>
    </row>
    <row r="32" spans="1:6">
      <c r="A32" s="39">
        <f ca="1">NOW()</f>
        <v>40037.966706134262</v>
      </c>
      <c r="B32" s="33">
        <f ca="1">NOW()</f>
        <v>40037.966706134262</v>
      </c>
      <c r="D32" s="250" t="s">
        <v>169</v>
      </c>
      <c r="E32" s="2" t="s">
        <v>174</v>
      </c>
      <c r="F32" t="s">
        <v>166</v>
      </c>
    </row>
    <row r="33" spans="1:6">
      <c r="A33" t="s">
        <v>170</v>
      </c>
      <c r="B33" t="s">
        <v>171</v>
      </c>
      <c r="D33" s="250"/>
      <c r="F33" t="s">
        <v>167</v>
      </c>
    </row>
  </sheetData>
  <mergeCells count="1">
    <mergeCell ref="D32:D33"/>
  </mergeCells>
  <phoneticPr fontId="0" type="noConversion"/>
  <printOptions horizontalCentered="1"/>
  <pageMargins left="0.5" right="0.5" top="0.75" bottom="0.75" header="0.3" footer="0.3"/>
  <pageSetup scale="80" orientation="landscape" r:id="rId1"/>
  <headerFooter>
    <oddFooter>&amp;LBoni Mays
Fayetteville Technical Community College&amp;C&amp;P&amp;Rwww.maysstuff.com</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K44"/>
  <sheetViews>
    <sheetView zoomScale="98" zoomScaleNormal="98" workbookViewId="0"/>
  </sheetViews>
  <sheetFormatPr defaultRowHeight="15"/>
  <cols>
    <col min="1" max="1" width="13.5703125" customWidth="1"/>
    <col min="2" max="2" width="38.140625" bestFit="1" customWidth="1"/>
    <col min="3" max="3" width="30.140625" bestFit="1" customWidth="1"/>
    <col min="4" max="4" width="13.7109375" bestFit="1" customWidth="1"/>
    <col min="5" max="5" width="4.140625" customWidth="1"/>
    <col min="6" max="6" width="12.28515625" bestFit="1" customWidth="1"/>
    <col min="7" max="7" width="7.28515625" customWidth="1"/>
    <col min="8" max="8" width="11.7109375" bestFit="1" customWidth="1"/>
    <col min="11" max="11" width="11.28515625" customWidth="1"/>
  </cols>
  <sheetData>
    <row r="1" spans="1:11" ht="22.5">
      <c r="A1" s="6" t="s">
        <v>175</v>
      </c>
    </row>
    <row r="3" spans="1:11" ht="18" thickBot="1">
      <c r="A3" s="61" t="s">
        <v>344</v>
      </c>
      <c r="B3" s="17"/>
      <c r="C3" s="17"/>
      <c r="F3" s="70" t="s">
        <v>289</v>
      </c>
      <c r="G3" s="70" t="s">
        <v>290</v>
      </c>
      <c r="H3" s="70" t="s">
        <v>291</v>
      </c>
      <c r="I3" s="70" t="s">
        <v>292</v>
      </c>
      <c r="J3" s="70" t="s">
        <v>293</v>
      </c>
      <c r="K3" s="70" t="s">
        <v>294</v>
      </c>
    </row>
    <row r="4" spans="1:11" ht="15.75" thickBot="1">
      <c r="A4" s="62" t="s">
        <v>71</v>
      </c>
      <c r="B4" s="62" t="s">
        <v>307</v>
      </c>
      <c r="C4" s="62" t="s">
        <v>308</v>
      </c>
      <c r="D4" s="62" t="s">
        <v>309</v>
      </c>
      <c r="F4">
        <v>11164539</v>
      </c>
      <c r="G4" s="58" t="s">
        <v>295</v>
      </c>
      <c r="H4" t="s">
        <v>296</v>
      </c>
      <c r="I4" s="59">
        <v>55.3</v>
      </c>
      <c r="J4">
        <v>15</v>
      </c>
      <c r="K4" s="59">
        <f t="shared" ref="K4:K43" si="0">J4*I4</f>
        <v>829.5</v>
      </c>
    </row>
    <row r="5" spans="1:11">
      <c r="A5" s="65" t="s">
        <v>278</v>
      </c>
      <c r="B5" s="65" t="s">
        <v>306</v>
      </c>
      <c r="C5" s="67" t="s">
        <v>334</v>
      </c>
      <c r="D5" s="66">
        <f>AVERAGE(I4:I43)</f>
        <v>32.597750000000005</v>
      </c>
      <c r="F5">
        <v>11164540</v>
      </c>
      <c r="G5" s="58" t="s">
        <v>297</v>
      </c>
      <c r="H5" t="s">
        <v>298</v>
      </c>
      <c r="I5" s="59">
        <v>69.58</v>
      </c>
      <c r="J5">
        <v>7</v>
      </c>
      <c r="K5" s="59">
        <f t="shared" si="0"/>
        <v>487.06</v>
      </c>
    </row>
    <row r="6" spans="1:11">
      <c r="A6" s="60" t="s">
        <v>305</v>
      </c>
      <c r="C6" s="17"/>
      <c r="F6">
        <v>11164541</v>
      </c>
      <c r="G6" s="58" t="s">
        <v>299</v>
      </c>
      <c r="H6" t="s">
        <v>300</v>
      </c>
      <c r="I6" s="59">
        <v>47.87</v>
      </c>
      <c r="J6">
        <v>1</v>
      </c>
      <c r="K6" s="59">
        <f t="shared" si="0"/>
        <v>47.87</v>
      </c>
    </row>
    <row r="7" spans="1:11">
      <c r="A7" s="65" t="s">
        <v>279</v>
      </c>
      <c r="B7" s="65" t="s">
        <v>311</v>
      </c>
      <c r="C7" s="68" t="s">
        <v>335</v>
      </c>
      <c r="D7" s="69">
        <f>MAX(J4:J43)</f>
        <v>19</v>
      </c>
      <c r="F7">
        <v>11164542</v>
      </c>
      <c r="G7" s="58" t="s">
        <v>295</v>
      </c>
      <c r="H7" t="s">
        <v>296</v>
      </c>
      <c r="I7" s="59">
        <v>16.22</v>
      </c>
      <c r="J7">
        <v>5</v>
      </c>
      <c r="K7" s="59">
        <f t="shared" si="0"/>
        <v>81.099999999999994</v>
      </c>
    </row>
    <row r="8" spans="1:11">
      <c r="A8" s="64" t="s">
        <v>310</v>
      </c>
      <c r="B8" s="17"/>
      <c r="C8" s="17"/>
      <c r="D8" s="12"/>
      <c r="F8">
        <v>11164544</v>
      </c>
      <c r="G8" s="58" t="s">
        <v>297</v>
      </c>
      <c r="H8" t="s">
        <v>298</v>
      </c>
      <c r="I8" s="59">
        <v>54.36</v>
      </c>
      <c r="K8" s="59">
        <f t="shared" si="0"/>
        <v>0</v>
      </c>
    </row>
    <row r="9" spans="1:11">
      <c r="A9" s="65" t="s">
        <v>280</v>
      </c>
      <c r="B9" s="65" t="s">
        <v>313</v>
      </c>
      <c r="C9" s="68" t="s">
        <v>345</v>
      </c>
      <c r="D9" s="71">
        <f>MIN(I4:I43)</f>
        <v>0.84</v>
      </c>
      <c r="F9">
        <v>11164545</v>
      </c>
      <c r="G9" s="58" t="s">
        <v>301</v>
      </c>
      <c r="H9" t="s">
        <v>298</v>
      </c>
      <c r="I9" s="59">
        <v>74.45</v>
      </c>
      <c r="J9">
        <v>13</v>
      </c>
      <c r="K9" s="59">
        <f t="shared" si="0"/>
        <v>967.85</v>
      </c>
    </row>
    <row r="10" spans="1:11">
      <c r="A10" s="60" t="s">
        <v>312</v>
      </c>
      <c r="C10" s="17"/>
      <c r="D10" s="12"/>
      <c r="F10">
        <v>11164546</v>
      </c>
      <c r="G10" s="58" t="s">
        <v>301</v>
      </c>
      <c r="H10" t="s">
        <v>296</v>
      </c>
      <c r="I10" s="59">
        <v>52.03</v>
      </c>
      <c r="J10">
        <v>11</v>
      </c>
      <c r="K10" s="59">
        <f t="shared" si="0"/>
        <v>572.33000000000004</v>
      </c>
    </row>
    <row r="11" spans="1:11">
      <c r="A11" s="65" t="s">
        <v>281</v>
      </c>
      <c r="B11" s="3" t="s">
        <v>315</v>
      </c>
      <c r="C11" s="68" t="s">
        <v>336</v>
      </c>
      <c r="D11" s="69">
        <f>COUNT(J4:J43)</f>
        <v>38</v>
      </c>
      <c r="F11">
        <v>11164547</v>
      </c>
      <c r="G11" s="58" t="s">
        <v>301</v>
      </c>
      <c r="H11" t="s">
        <v>300</v>
      </c>
      <c r="I11" s="59">
        <v>25.74</v>
      </c>
      <c r="J11">
        <v>8</v>
      </c>
      <c r="K11" s="59">
        <f t="shared" si="0"/>
        <v>205.92</v>
      </c>
    </row>
    <row r="12" spans="1:11">
      <c r="A12" s="64" t="s">
        <v>314</v>
      </c>
      <c r="C12" s="17"/>
      <c r="D12" s="12"/>
      <c r="F12">
        <v>11164548</v>
      </c>
      <c r="G12" s="58" t="s">
        <v>302</v>
      </c>
      <c r="H12" t="s">
        <v>298</v>
      </c>
      <c r="I12" s="59">
        <v>39.119999999999997</v>
      </c>
      <c r="J12">
        <v>14</v>
      </c>
      <c r="K12" s="59">
        <f t="shared" si="0"/>
        <v>547.67999999999995</v>
      </c>
    </row>
    <row r="13" spans="1:11">
      <c r="A13" s="65" t="s">
        <v>282</v>
      </c>
      <c r="B13" s="3" t="s">
        <v>317</v>
      </c>
      <c r="C13" s="68" t="s">
        <v>337</v>
      </c>
      <c r="D13" s="69">
        <f>COUNTA(G4:G43)</f>
        <v>40</v>
      </c>
      <c r="F13">
        <v>11164549</v>
      </c>
      <c r="G13" s="58" t="s">
        <v>301</v>
      </c>
      <c r="H13" t="s">
        <v>300</v>
      </c>
      <c r="I13" s="59">
        <v>10.97</v>
      </c>
      <c r="J13">
        <v>3</v>
      </c>
      <c r="K13" s="59">
        <f t="shared" si="0"/>
        <v>32.910000000000004</v>
      </c>
    </row>
    <row r="14" spans="1:11">
      <c r="A14" s="60" t="s">
        <v>316</v>
      </c>
      <c r="B14" s="17"/>
      <c r="C14" s="17"/>
      <c r="F14">
        <v>11164550</v>
      </c>
      <c r="G14" s="58" t="s">
        <v>302</v>
      </c>
      <c r="H14" t="s">
        <v>303</v>
      </c>
      <c r="I14" s="59">
        <v>18.559999999999999</v>
      </c>
      <c r="J14">
        <v>12</v>
      </c>
      <c r="K14" s="59">
        <f t="shared" si="0"/>
        <v>222.71999999999997</v>
      </c>
    </row>
    <row r="15" spans="1:11">
      <c r="A15" s="65" t="s">
        <v>276</v>
      </c>
      <c r="B15" s="65" t="s">
        <v>322</v>
      </c>
      <c r="C15" s="74" t="s">
        <v>338</v>
      </c>
      <c r="D15" s="66">
        <f ca="1">SUMIF(H4:K43,"Dept 1",K4:K43)</f>
        <v>1092.3</v>
      </c>
      <c r="F15">
        <v>11164551</v>
      </c>
      <c r="G15" s="58" t="s">
        <v>295</v>
      </c>
      <c r="H15" t="s">
        <v>296</v>
      </c>
      <c r="I15" s="59">
        <v>45.8</v>
      </c>
      <c r="J15">
        <v>17</v>
      </c>
      <c r="K15" s="59">
        <f t="shared" si="0"/>
        <v>778.59999999999991</v>
      </c>
    </row>
    <row r="16" spans="1:11">
      <c r="A16" s="64" t="s">
        <v>319</v>
      </c>
      <c r="B16" s="17"/>
      <c r="C16" s="17"/>
      <c r="F16">
        <v>11164556</v>
      </c>
      <c r="G16" s="58" t="s">
        <v>301</v>
      </c>
      <c r="H16" t="s">
        <v>300</v>
      </c>
      <c r="I16" s="59">
        <v>88.39</v>
      </c>
      <c r="J16">
        <v>2</v>
      </c>
      <c r="K16" s="59">
        <f t="shared" si="0"/>
        <v>176.78</v>
      </c>
    </row>
    <row r="17" spans="1:11">
      <c r="A17" s="65" t="s">
        <v>275</v>
      </c>
      <c r="B17" s="65" t="s">
        <v>321</v>
      </c>
      <c r="C17" s="74" t="s">
        <v>339</v>
      </c>
      <c r="D17" s="75">
        <f>COUNTIF(G4:G43,"RT")</f>
        <v>10</v>
      </c>
      <c r="F17">
        <v>11164557</v>
      </c>
      <c r="G17" s="58" t="s">
        <v>299</v>
      </c>
      <c r="H17" t="s">
        <v>296</v>
      </c>
      <c r="I17" s="59">
        <v>79.08</v>
      </c>
      <c r="J17">
        <v>12</v>
      </c>
      <c r="K17" s="59">
        <f t="shared" si="0"/>
        <v>948.96</v>
      </c>
    </row>
    <row r="18" spans="1:11">
      <c r="A18" s="64" t="s">
        <v>318</v>
      </c>
      <c r="B18" s="17"/>
      <c r="C18" s="17"/>
      <c r="F18">
        <v>11164558</v>
      </c>
      <c r="G18" s="58" t="s">
        <v>301</v>
      </c>
      <c r="H18" t="s">
        <v>303</v>
      </c>
      <c r="I18" s="59">
        <v>15.28</v>
      </c>
      <c r="J18">
        <v>7</v>
      </c>
      <c r="K18" s="59">
        <f t="shared" si="0"/>
        <v>106.96</v>
      </c>
    </row>
    <row r="19" spans="1:11">
      <c r="A19" s="65" t="s">
        <v>277</v>
      </c>
      <c r="B19" s="76" t="s">
        <v>347</v>
      </c>
      <c r="C19" s="74" t="s">
        <v>340</v>
      </c>
      <c r="D19" s="77">
        <f ca="1">AVERAGEIF(G4:K43,"RT",I4:I43)</f>
        <v>33.126999999999995</v>
      </c>
      <c r="F19">
        <v>11164559</v>
      </c>
      <c r="G19" s="58" t="s">
        <v>297</v>
      </c>
      <c r="H19" t="s">
        <v>303</v>
      </c>
      <c r="I19" s="59">
        <v>2.77</v>
      </c>
      <c r="J19">
        <v>15</v>
      </c>
      <c r="K19" s="59">
        <f t="shared" si="0"/>
        <v>41.55</v>
      </c>
    </row>
    <row r="20" spans="1:11">
      <c r="A20" s="60" t="s">
        <v>320</v>
      </c>
      <c r="B20" s="17"/>
      <c r="C20" s="17"/>
      <c r="F20">
        <v>11164560</v>
      </c>
      <c r="G20" s="58" t="s">
        <v>295</v>
      </c>
      <c r="H20" t="s">
        <v>298</v>
      </c>
      <c r="I20" s="59">
        <v>40.96</v>
      </c>
      <c r="K20" s="59">
        <f t="shared" si="0"/>
        <v>0</v>
      </c>
    </row>
    <row r="21" spans="1:11">
      <c r="B21" s="17"/>
      <c r="C21" s="17"/>
      <c r="F21">
        <v>11164561</v>
      </c>
      <c r="G21" s="58" t="s">
        <v>295</v>
      </c>
      <c r="H21" t="s">
        <v>304</v>
      </c>
      <c r="I21" s="59">
        <v>25.07</v>
      </c>
      <c r="J21">
        <v>12</v>
      </c>
      <c r="K21" s="59">
        <f t="shared" si="0"/>
        <v>300.84000000000003</v>
      </c>
    </row>
    <row r="22" spans="1:11" ht="17.25">
      <c r="A22" s="61" t="s">
        <v>283</v>
      </c>
      <c r="B22" s="17"/>
      <c r="C22" s="17"/>
      <c r="F22">
        <v>11164562</v>
      </c>
      <c r="G22" s="58" t="s">
        <v>301</v>
      </c>
      <c r="H22" t="s">
        <v>296</v>
      </c>
      <c r="I22" s="59">
        <v>0.84</v>
      </c>
      <c r="J22">
        <v>12</v>
      </c>
      <c r="K22" s="59">
        <f t="shared" si="0"/>
        <v>10.08</v>
      </c>
    </row>
    <row r="23" spans="1:11">
      <c r="A23" t="s">
        <v>325</v>
      </c>
      <c r="C23" t="s">
        <v>386</v>
      </c>
      <c r="F23">
        <v>11164563</v>
      </c>
      <c r="G23" s="58" t="s">
        <v>301</v>
      </c>
      <c r="H23" t="s">
        <v>303</v>
      </c>
      <c r="I23" s="59">
        <v>9.42</v>
      </c>
      <c r="J23">
        <v>3</v>
      </c>
      <c r="K23" s="59">
        <f t="shared" si="0"/>
        <v>28.259999999999998</v>
      </c>
    </row>
    <row r="24" spans="1:11" ht="15.75" thickBot="1">
      <c r="A24" s="62" t="s">
        <v>71</v>
      </c>
      <c r="B24" s="62" t="s">
        <v>307</v>
      </c>
      <c r="C24" s="62" t="s">
        <v>308</v>
      </c>
      <c r="D24" s="62" t="s">
        <v>309</v>
      </c>
      <c r="F24">
        <v>11164564</v>
      </c>
      <c r="G24" s="58" t="s">
        <v>297</v>
      </c>
      <c r="H24" t="s">
        <v>298</v>
      </c>
      <c r="I24" s="59">
        <v>16.02</v>
      </c>
      <c r="J24">
        <v>7</v>
      </c>
      <c r="K24" s="59">
        <f t="shared" si="0"/>
        <v>112.14</v>
      </c>
    </row>
    <row r="25" spans="1:11">
      <c r="A25" s="65" t="s">
        <v>287</v>
      </c>
      <c r="B25" s="78" t="s">
        <v>330</v>
      </c>
      <c r="C25" s="74" t="s">
        <v>387</v>
      </c>
      <c r="D25" s="75">
        <f>FIND(",",A23)</f>
        <v>28</v>
      </c>
      <c r="F25">
        <v>11164565</v>
      </c>
      <c r="G25" s="58" t="s">
        <v>295</v>
      </c>
      <c r="H25" t="s">
        <v>296</v>
      </c>
      <c r="I25" s="59">
        <v>77.83</v>
      </c>
      <c r="J25">
        <v>4</v>
      </c>
      <c r="K25" s="59">
        <f t="shared" si="0"/>
        <v>311.32</v>
      </c>
    </row>
    <row r="26" spans="1:11">
      <c r="A26" s="64" t="s">
        <v>323</v>
      </c>
      <c r="F26">
        <v>11164567</v>
      </c>
      <c r="G26" s="58" t="s">
        <v>299</v>
      </c>
      <c r="H26" t="s">
        <v>304</v>
      </c>
      <c r="I26" s="59">
        <v>1.54</v>
      </c>
      <c r="J26">
        <v>15</v>
      </c>
      <c r="K26" s="59">
        <f t="shared" si="0"/>
        <v>23.1</v>
      </c>
    </row>
    <row r="27" spans="1:11">
      <c r="A27" s="65" t="s">
        <v>284</v>
      </c>
      <c r="B27" s="78" t="s">
        <v>329</v>
      </c>
      <c r="C27" s="79" t="s">
        <v>388</v>
      </c>
      <c r="D27" s="3" t="str">
        <f>LEFT(A23,9)</f>
        <v>President</v>
      </c>
      <c r="F27">
        <v>11164568</v>
      </c>
      <c r="G27" s="58" t="s">
        <v>297</v>
      </c>
      <c r="H27" t="s">
        <v>303</v>
      </c>
      <c r="I27" s="59">
        <v>9.81</v>
      </c>
      <c r="J27">
        <v>1</v>
      </c>
      <c r="K27" s="59">
        <f t="shared" si="0"/>
        <v>9.81</v>
      </c>
    </row>
    <row r="28" spans="1:11">
      <c r="A28" s="64" t="s">
        <v>324</v>
      </c>
      <c r="F28">
        <v>11164569</v>
      </c>
      <c r="G28" s="58" t="s">
        <v>301</v>
      </c>
      <c r="H28" t="s">
        <v>304</v>
      </c>
      <c r="I28" s="59">
        <v>1.77</v>
      </c>
      <c r="J28">
        <v>8</v>
      </c>
      <c r="K28" s="59">
        <f t="shared" si="0"/>
        <v>14.16</v>
      </c>
    </row>
    <row r="29" spans="1:11">
      <c r="A29" s="65" t="s">
        <v>288</v>
      </c>
      <c r="B29" s="3" t="s">
        <v>327</v>
      </c>
      <c r="C29" s="79" t="s">
        <v>389</v>
      </c>
      <c r="D29" s="75">
        <f>LEN(A23)</f>
        <v>53</v>
      </c>
      <c r="F29">
        <v>11164570</v>
      </c>
      <c r="G29" s="58" t="s">
        <v>302</v>
      </c>
      <c r="H29" t="s">
        <v>304</v>
      </c>
      <c r="I29" s="59">
        <v>7.99</v>
      </c>
      <c r="J29">
        <v>13</v>
      </c>
      <c r="K29" s="59">
        <f t="shared" si="0"/>
        <v>103.87</v>
      </c>
    </row>
    <row r="30" spans="1:11">
      <c r="A30" s="64" t="s">
        <v>326</v>
      </c>
      <c r="F30">
        <v>11164571</v>
      </c>
      <c r="G30" s="58" t="s">
        <v>301</v>
      </c>
      <c r="H30" t="s">
        <v>298</v>
      </c>
      <c r="I30" s="59">
        <v>23.54</v>
      </c>
      <c r="J30">
        <v>10</v>
      </c>
      <c r="K30" s="59">
        <f t="shared" si="0"/>
        <v>235.39999999999998</v>
      </c>
    </row>
    <row r="31" spans="1:11">
      <c r="A31" s="65" t="s">
        <v>285</v>
      </c>
      <c r="B31" s="3" t="s">
        <v>328</v>
      </c>
      <c r="C31" s="79" t="s">
        <v>390</v>
      </c>
      <c r="D31" s="3" t="str">
        <f>MID(A23,18,10)</f>
        <v>Washington</v>
      </c>
      <c r="F31">
        <v>11164572</v>
      </c>
      <c r="G31" s="58" t="s">
        <v>299</v>
      </c>
      <c r="H31" t="s">
        <v>300</v>
      </c>
      <c r="I31" s="59">
        <v>71.099999999999994</v>
      </c>
      <c r="J31">
        <v>4</v>
      </c>
      <c r="K31" s="59">
        <f t="shared" si="0"/>
        <v>284.39999999999998</v>
      </c>
    </row>
    <row r="32" spans="1:11">
      <c r="A32" s="64" t="s">
        <v>331</v>
      </c>
      <c r="F32">
        <v>11164574</v>
      </c>
      <c r="G32" s="58" t="s">
        <v>295</v>
      </c>
      <c r="H32" t="s">
        <v>303</v>
      </c>
      <c r="I32" s="59">
        <v>64.64</v>
      </c>
      <c r="J32">
        <v>5</v>
      </c>
      <c r="K32" s="59">
        <f t="shared" si="0"/>
        <v>323.2</v>
      </c>
    </row>
    <row r="33" spans="1:11">
      <c r="A33" s="65" t="s">
        <v>286</v>
      </c>
      <c r="B33" s="3" t="s">
        <v>333</v>
      </c>
      <c r="C33" s="79" t="s">
        <v>391</v>
      </c>
      <c r="D33" s="3" t="str">
        <f>RIGHT(A23,7)</f>
        <v>America</v>
      </c>
      <c r="F33">
        <v>11164575</v>
      </c>
      <c r="G33" s="58" t="s">
        <v>299</v>
      </c>
      <c r="H33" t="s">
        <v>298</v>
      </c>
      <c r="I33" s="59">
        <v>50.87</v>
      </c>
      <c r="J33">
        <v>19</v>
      </c>
      <c r="K33" s="59">
        <f t="shared" si="0"/>
        <v>966.53</v>
      </c>
    </row>
    <row r="34" spans="1:11">
      <c r="A34" s="64" t="s">
        <v>332</v>
      </c>
      <c r="F34">
        <v>11164579</v>
      </c>
      <c r="G34" s="58" t="s">
        <v>297</v>
      </c>
      <c r="H34" t="s">
        <v>300</v>
      </c>
      <c r="I34" s="59">
        <v>27.6</v>
      </c>
      <c r="J34">
        <v>3</v>
      </c>
      <c r="K34" s="59">
        <f t="shared" si="0"/>
        <v>82.800000000000011</v>
      </c>
    </row>
    <row r="35" spans="1:11">
      <c r="F35">
        <v>11164580</v>
      </c>
      <c r="G35" s="58" t="s">
        <v>301</v>
      </c>
      <c r="H35" t="s">
        <v>300</v>
      </c>
      <c r="I35" s="59">
        <v>46.85</v>
      </c>
      <c r="J35">
        <v>9</v>
      </c>
      <c r="K35" s="59">
        <f t="shared" si="0"/>
        <v>421.65000000000003</v>
      </c>
    </row>
    <row r="36" spans="1:11">
      <c r="A36" s="80" t="s">
        <v>392</v>
      </c>
      <c r="F36">
        <v>11164581</v>
      </c>
      <c r="G36" s="58" t="s">
        <v>295</v>
      </c>
      <c r="H36" t="s">
        <v>300</v>
      </c>
      <c r="I36" s="59">
        <v>1.18</v>
      </c>
      <c r="J36">
        <v>16</v>
      </c>
      <c r="K36" s="59">
        <f t="shared" si="0"/>
        <v>18.88</v>
      </c>
    </row>
    <row r="37" spans="1:11" ht="15.75" thickBot="1">
      <c r="A37" s="84" t="s">
        <v>393</v>
      </c>
      <c r="B37" s="84"/>
      <c r="C37" s="84" t="s">
        <v>394</v>
      </c>
      <c r="D37" s="84"/>
      <c r="F37">
        <v>11164582</v>
      </c>
      <c r="G37" s="58" t="s">
        <v>299</v>
      </c>
      <c r="H37" t="s">
        <v>303</v>
      </c>
      <c r="I37" s="59">
        <v>35</v>
      </c>
      <c r="J37">
        <v>10</v>
      </c>
      <c r="K37" s="59">
        <f t="shared" si="0"/>
        <v>350</v>
      </c>
    </row>
    <row r="38" spans="1:11">
      <c r="A38" s="86" t="s">
        <v>325</v>
      </c>
      <c r="B38" s="86"/>
      <c r="C38" s="86" t="str">
        <f>RIGHT(A38,(LEN(A38)-FIND(",",A38)-1))</f>
        <v>United States of America</v>
      </c>
      <c r="D38" s="86"/>
      <c r="F38">
        <v>11164583</v>
      </c>
      <c r="G38" s="58" t="s">
        <v>301</v>
      </c>
      <c r="H38" t="s">
        <v>296</v>
      </c>
      <c r="I38" s="59">
        <v>12.13</v>
      </c>
      <c r="J38">
        <v>13</v>
      </c>
      <c r="K38" s="59">
        <f t="shared" si="0"/>
        <v>157.69</v>
      </c>
    </row>
    <row r="39" spans="1:11">
      <c r="A39" s="81" t="s">
        <v>342</v>
      </c>
      <c r="B39" s="81"/>
      <c r="C39" s="81" t="str">
        <f>RIGHT(A39,(LEN(A39)-FIND(",",A39)-1))</f>
        <v>Starfleet Command</v>
      </c>
      <c r="D39" s="82"/>
      <c r="F39">
        <v>11164584</v>
      </c>
      <c r="G39" s="58" t="s">
        <v>302</v>
      </c>
      <c r="H39" t="s">
        <v>300</v>
      </c>
      <c r="I39" s="59">
        <v>51.16</v>
      </c>
      <c r="J39">
        <v>5</v>
      </c>
      <c r="K39" s="59">
        <f t="shared" si="0"/>
        <v>255.79999999999998</v>
      </c>
    </row>
    <row r="40" spans="1:11" ht="15.75" thickBot="1">
      <c r="A40" s="87" t="s">
        <v>341</v>
      </c>
      <c r="B40" s="87"/>
      <c r="C40" s="87" t="str">
        <f>RIGHT(A40,(LEN(A40)-FIND(",",A40)-1))</f>
        <v>a poem as lovely as a tree.</v>
      </c>
      <c r="D40" s="87"/>
      <c r="F40">
        <v>11164585</v>
      </c>
      <c r="G40" s="58" t="s">
        <v>302</v>
      </c>
      <c r="H40" t="s">
        <v>304</v>
      </c>
      <c r="I40" s="59">
        <v>27.88</v>
      </c>
      <c r="J40">
        <v>2</v>
      </c>
      <c r="K40" s="59">
        <f t="shared" si="0"/>
        <v>55.76</v>
      </c>
    </row>
    <row r="41" spans="1:11">
      <c r="A41" s="85" t="s">
        <v>395</v>
      </c>
      <c r="B41" s="85"/>
      <c r="C41" s="85"/>
      <c r="D41" s="85"/>
      <c r="F41">
        <v>11164586</v>
      </c>
      <c r="G41" s="58" t="s">
        <v>295</v>
      </c>
      <c r="H41" t="s">
        <v>304</v>
      </c>
      <c r="I41" s="59">
        <v>2.31</v>
      </c>
      <c r="J41">
        <v>16</v>
      </c>
      <c r="K41" s="59">
        <f t="shared" si="0"/>
        <v>36.96</v>
      </c>
    </row>
    <row r="42" spans="1:11">
      <c r="A42" t="s">
        <v>396</v>
      </c>
      <c r="B42" s="83"/>
      <c r="C42" s="83"/>
      <c r="D42" s="83"/>
      <c r="F42">
        <v>11164587</v>
      </c>
      <c r="G42" s="58" t="s">
        <v>295</v>
      </c>
      <c r="H42" t="s">
        <v>303</v>
      </c>
      <c r="I42" s="59">
        <v>1.96</v>
      </c>
      <c r="J42">
        <v>5</v>
      </c>
      <c r="K42" s="59">
        <f t="shared" si="0"/>
        <v>9.8000000000000007</v>
      </c>
    </row>
    <row r="43" spans="1:11">
      <c r="A43" t="s">
        <v>397</v>
      </c>
      <c r="B43" s="83"/>
      <c r="C43" s="83"/>
      <c r="D43" s="83"/>
      <c r="F43">
        <v>11164591</v>
      </c>
      <c r="G43" s="58" t="s">
        <v>297</v>
      </c>
      <c r="H43" t="s">
        <v>304</v>
      </c>
      <c r="I43" s="59">
        <v>0.92</v>
      </c>
      <c r="J43">
        <v>4</v>
      </c>
      <c r="K43" s="59">
        <f t="shared" si="0"/>
        <v>3.68</v>
      </c>
    </row>
    <row r="44" spans="1:11">
      <c r="K44" s="63"/>
    </row>
  </sheetData>
  <phoneticPr fontId="0" type="noConversion"/>
  <printOptions horizontalCentered="1"/>
  <pageMargins left="0.5" right="0.5" top="0.75" bottom="0.75" header="0.3" footer="0.3"/>
  <pageSetup scale="79" orientation="landscape" r:id="rId1"/>
  <headerFooter>
    <oddFooter>&amp;LBoni Mays
Fayetteville Technical Community College&amp;C&amp;P&amp;Rwww.maysstuff.com</oddFooter>
  </headerFooter>
  <legacyDrawing r:id="rId2"/>
</worksheet>
</file>

<file path=xl/worksheets/sheet14.xml><?xml version="1.0" encoding="utf-8"?>
<worksheet xmlns="http://schemas.openxmlformats.org/spreadsheetml/2006/main" xmlns:r="http://schemas.openxmlformats.org/officeDocument/2006/relationships">
  <dimension ref="A1:I42"/>
  <sheetViews>
    <sheetView zoomScale="98" zoomScaleNormal="98" workbookViewId="0"/>
  </sheetViews>
  <sheetFormatPr defaultRowHeight="15"/>
  <cols>
    <col min="1" max="1" width="13.5703125" customWidth="1"/>
    <col min="2" max="6" width="11.7109375" customWidth="1"/>
    <col min="7" max="7" width="14.5703125" customWidth="1"/>
    <col min="8" max="8" width="49.85546875" customWidth="1"/>
    <col min="9" max="9" width="15" customWidth="1"/>
    <col min="11" max="11" width="11.28515625" customWidth="1"/>
  </cols>
  <sheetData>
    <row r="1" spans="1:9" ht="22.5">
      <c r="A1" s="6" t="s">
        <v>404</v>
      </c>
    </row>
    <row r="2" spans="1:9">
      <c r="A2" t="s">
        <v>421</v>
      </c>
    </row>
    <row r="3" spans="1:9" ht="15.75" thickBot="1">
      <c r="A3" s="62" t="s">
        <v>71</v>
      </c>
      <c r="B3" s="62" t="s">
        <v>307</v>
      </c>
      <c r="C3" s="62"/>
      <c r="D3" s="62"/>
      <c r="E3" s="62"/>
      <c r="F3" s="62"/>
      <c r="G3" s="62"/>
      <c r="H3" s="62" t="s">
        <v>308</v>
      </c>
      <c r="I3" s="93" t="s">
        <v>309</v>
      </c>
    </row>
    <row r="4" spans="1:9">
      <c r="A4" s="88" t="s">
        <v>398</v>
      </c>
      <c r="B4" s="88" t="s">
        <v>423</v>
      </c>
      <c r="C4" s="65"/>
      <c r="D4" s="65"/>
      <c r="E4" s="65"/>
      <c r="F4" s="65"/>
      <c r="G4" s="65"/>
      <c r="H4" s="67" t="s">
        <v>416</v>
      </c>
      <c r="I4" s="66">
        <f>SUMIFS(F16:F55,B16:B55,"RT",C16:C55,"Dept 2")</f>
        <v>2000.5199999999998</v>
      </c>
    </row>
    <row r="5" spans="1:9">
      <c r="A5" s="60" t="s">
        <v>399</v>
      </c>
      <c r="H5" s="17"/>
    </row>
    <row r="6" spans="1:9">
      <c r="A6" s="88" t="s">
        <v>400</v>
      </c>
      <c r="B6" s="88" t="s">
        <v>422</v>
      </c>
      <c r="C6" s="65"/>
      <c r="D6" s="65"/>
      <c r="E6" s="65"/>
      <c r="F6" s="65"/>
      <c r="G6" s="65"/>
      <c r="H6" s="68" t="s">
        <v>417</v>
      </c>
      <c r="I6" s="69">
        <f>COUNTIFS(B16:B55,"RT",C16:C55,"Dept 2")</f>
        <v>4</v>
      </c>
    </row>
    <row r="7" spans="1:9">
      <c r="A7" s="64" t="s">
        <v>401</v>
      </c>
      <c r="B7" s="17"/>
      <c r="C7" s="17"/>
      <c r="D7" s="17"/>
      <c r="E7" s="17"/>
      <c r="F7" s="17"/>
      <c r="G7" s="17"/>
      <c r="H7" s="17"/>
      <c r="I7" s="12"/>
    </row>
    <row r="8" spans="1:9">
      <c r="A8" s="65" t="s">
        <v>277</v>
      </c>
      <c r="B8" s="76" t="s">
        <v>347</v>
      </c>
      <c r="C8" s="76"/>
      <c r="D8" s="76"/>
      <c r="E8" s="76"/>
      <c r="F8" s="76"/>
      <c r="G8" s="76"/>
      <c r="H8" s="68" t="s">
        <v>418</v>
      </c>
      <c r="I8" s="90">
        <f ca="1">AVERAGEIF(B16:F55,"RT",D16:D55)</f>
        <v>43.53</v>
      </c>
    </row>
    <row r="9" spans="1:9">
      <c r="A9" s="60" t="s">
        <v>320</v>
      </c>
      <c r="B9" s="17"/>
      <c r="C9" s="17"/>
      <c r="D9" s="17"/>
      <c r="E9" s="17"/>
      <c r="F9" s="17"/>
      <c r="G9" s="17"/>
      <c r="H9" s="17"/>
    </row>
    <row r="10" spans="1:9">
      <c r="A10" s="88" t="s">
        <v>402</v>
      </c>
      <c r="B10" s="8" t="s">
        <v>424</v>
      </c>
      <c r="C10" s="3"/>
      <c r="D10" s="3"/>
      <c r="E10" s="3"/>
      <c r="F10" s="3"/>
      <c r="G10" s="3"/>
      <c r="H10" s="68" t="s">
        <v>419</v>
      </c>
      <c r="I10" s="89">
        <f>AVERAGEIFS(F16:F55,B16:B55,"RT",C16:C55,"Dept 2")</f>
        <v>500.12999999999994</v>
      </c>
    </row>
    <row r="11" spans="1:9">
      <c r="A11" s="64" t="s">
        <v>403</v>
      </c>
      <c r="H11" s="17"/>
      <c r="I11" s="12"/>
    </row>
    <row r="12" spans="1:9">
      <c r="A12" s="88" t="s">
        <v>405</v>
      </c>
      <c r="B12" s="8" t="s">
        <v>425</v>
      </c>
      <c r="C12" s="3"/>
      <c r="D12" s="3"/>
      <c r="E12" s="3"/>
      <c r="F12" s="3"/>
      <c r="G12" s="3"/>
      <c r="H12" s="68"/>
      <c r="I12" s="99" t="s">
        <v>420</v>
      </c>
    </row>
    <row r="13" spans="1:9">
      <c r="A13" s="64" t="s">
        <v>406</v>
      </c>
      <c r="H13" s="17"/>
      <c r="I13" s="12"/>
    </row>
    <row r="15" spans="1:9" ht="15.75" thickBot="1">
      <c r="A15" s="92" t="s">
        <v>289</v>
      </c>
      <c r="B15" s="91" t="s">
        <v>290</v>
      </c>
      <c r="C15" s="70" t="s">
        <v>291</v>
      </c>
      <c r="D15" s="92" t="s">
        <v>292</v>
      </c>
      <c r="E15" s="92" t="s">
        <v>293</v>
      </c>
      <c r="F15" s="92" t="s">
        <v>294</v>
      </c>
      <c r="H15" s="96" t="s">
        <v>412</v>
      </c>
      <c r="I15" s="96"/>
    </row>
    <row r="16" spans="1:9">
      <c r="A16">
        <v>11164539</v>
      </c>
      <c r="B16" s="58" t="s">
        <v>295</v>
      </c>
      <c r="C16" t="s">
        <v>296</v>
      </c>
      <c r="D16" s="59">
        <v>55.3</v>
      </c>
      <c r="E16">
        <v>15</v>
      </c>
      <c r="F16" s="59">
        <f t="shared" ref="F16:F42" si="0">E16*D16</f>
        <v>829.5</v>
      </c>
      <c r="H16" s="94" t="s">
        <v>407</v>
      </c>
      <c r="I16">
        <v>11164539</v>
      </c>
    </row>
    <row r="17" spans="1:9">
      <c r="A17">
        <v>11164540</v>
      </c>
      <c r="B17" s="58" t="s">
        <v>297</v>
      </c>
      <c r="C17" t="s">
        <v>298</v>
      </c>
      <c r="D17" s="59">
        <v>69.58</v>
      </c>
      <c r="E17">
        <v>7</v>
      </c>
      <c r="F17" s="59">
        <f t="shared" si="0"/>
        <v>487.06</v>
      </c>
    </row>
    <row r="18" spans="1:9">
      <c r="A18">
        <v>11164541</v>
      </c>
      <c r="B18" s="58" t="s">
        <v>299</v>
      </c>
      <c r="C18" t="s">
        <v>300</v>
      </c>
      <c r="D18" s="59">
        <v>47.87</v>
      </c>
      <c r="E18">
        <v>1</v>
      </c>
      <c r="F18" s="59">
        <f t="shared" si="0"/>
        <v>47.87</v>
      </c>
      <c r="H18" s="94" t="s">
        <v>408</v>
      </c>
      <c r="I18" s="94" t="str">
        <f>VLOOKUP(I16,A15:F42,2)</f>
        <v>RT</v>
      </c>
    </row>
    <row r="19" spans="1:9" s="82" customFormat="1">
      <c r="A19" s="82">
        <v>11164542</v>
      </c>
      <c r="B19" s="103" t="s">
        <v>295</v>
      </c>
      <c r="C19" s="82" t="s">
        <v>296</v>
      </c>
      <c r="D19" s="104">
        <v>16.22</v>
      </c>
      <c r="E19" s="82">
        <v>5</v>
      </c>
      <c r="F19" s="104">
        <f t="shared" si="0"/>
        <v>81.099999999999994</v>
      </c>
      <c r="H19" s="105" t="s">
        <v>409</v>
      </c>
      <c r="I19" s="105" t="str">
        <f>VLOOKUP(I16,A15:F42,3)</f>
        <v>Dept 2</v>
      </c>
    </row>
    <row r="20" spans="1:9" s="82" customFormat="1">
      <c r="A20" s="82">
        <v>11164544</v>
      </c>
      <c r="B20" s="103" t="s">
        <v>297</v>
      </c>
      <c r="C20" s="82" t="s">
        <v>298</v>
      </c>
      <c r="D20" s="104">
        <v>54.36</v>
      </c>
      <c r="F20" s="104">
        <f t="shared" si="0"/>
        <v>0</v>
      </c>
      <c r="H20" s="105" t="s">
        <v>410</v>
      </c>
      <c r="I20" s="106">
        <f>VLOOKUP(I16,A15:F42,4)</f>
        <v>55.3</v>
      </c>
    </row>
    <row r="21" spans="1:9" s="82" customFormat="1">
      <c r="A21" s="82">
        <v>11164545</v>
      </c>
      <c r="B21" s="103" t="s">
        <v>301</v>
      </c>
      <c r="C21" s="82" t="s">
        <v>298</v>
      </c>
      <c r="D21" s="104">
        <v>74.45</v>
      </c>
      <c r="E21" s="82">
        <v>13</v>
      </c>
      <c r="F21" s="104">
        <f t="shared" si="0"/>
        <v>967.85</v>
      </c>
      <c r="H21" s="105" t="s">
        <v>411</v>
      </c>
      <c r="I21" s="105">
        <f>VLOOKUP(I16,A15:F42,5)</f>
        <v>15</v>
      </c>
    </row>
    <row r="22" spans="1:9" s="82" customFormat="1">
      <c r="A22" s="82">
        <v>11164546</v>
      </c>
      <c r="B22" s="103" t="s">
        <v>301</v>
      </c>
      <c r="C22" s="82" t="s">
        <v>296</v>
      </c>
      <c r="D22" s="104">
        <v>52.03</v>
      </c>
      <c r="E22" s="82">
        <v>11</v>
      </c>
      <c r="F22" s="104">
        <f t="shared" si="0"/>
        <v>572.33000000000004</v>
      </c>
    </row>
    <row r="23" spans="1:9" s="82" customFormat="1" ht="15.75" thickBot="1">
      <c r="A23" s="82">
        <v>11164547</v>
      </c>
      <c r="B23" s="103" t="s">
        <v>301</v>
      </c>
      <c r="C23" s="82" t="s">
        <v>300</v>
      </c>
      <c r="D23" s="104">
        <v>25.74</v>
      </c>
      <c r="E23" s="82">
        <v>8</v>
      </c>
      <c r="F23" s="104">
        <f t="shared" si="0"/>
        <v>205.92</v>
      </c>
      <c r="H23" s="96" t="s">
        <v>413</v>
      </c>
      <c r="I23" s="96"/>
    </row>
    <row r="24" spans="1:9" s="82" customFormat="1">
      <c r="A24" s="82">
        <v>11164548</v>
      </c>
      <c r="B24" s="103" t="s">
        <v>302</v>
      </c>
      <c r="C24" s="82" t="s">
        <v>298</v>
      </c>
      <c r="D24" s="104">
        <v>39.119999999999997</v>
      </c>
      <c r="E24" s="82">
        <v>14</v>
      </c>
      <c r="F24" s="104">
        <f t="shared" si="0"/>
        <v>547.67999999999995</v>
      </c>
      <c r="H24" s="105" t="s">
        <v>407</v>
      </c>
      <c r="I24" s="82">
        <v>11160000</v>
      </c>
    </row>
    <row r="25" spans="1:9" s="82" customFormat="1">
      <c r="A25" s="82">
        <v>11164549</v>
      </c>
      <c r="B25" s="103" t="s">
        <v>301</v>
      </c>
      <c r="C25" s="82" t="s">
        <v>300</v>
      </c>
      <c r="D25" s="104">
        <v>10.97</v>
      </c>
      <c r="E25" s="82">
        <v>3</v>
      </c>
      <c r="F25" s="104">
        <f t="shared" si="0"/>
        <v>32.910000000000004</v>
      </c>
    </row>
    <row r="26" spans="1:9" s="82" customFormat="1">
      <c r="A26" s="82">
        <v>11164550</v>
      </c>
      <c r="B26" s="103" t="s">
        <v>302</v>
      </c>
      <c r="C26" s="82" t="s">
        <v>303</v>
      </c>
      <c r="D26" s="104">
        <v>18.559999999999999</v>
      </c>
      <c r="E26" s="82">
        <v>12</v>
      </c>
      <c r="F26" s="104">
        <f t="shared" si="0"/>
        <v>222.71999999999997</v>
      </c>
      <c r="H26" s="105" t="s">
        <v>408</v>
      </c>
      <c r="I26" s="105" t="e">
        <f>VLOOKUP(I24,A15:F42,2,0)</f>
        <v>#N/A</v>
      </c>
    </row>
    <row r="27" spans="1:9" s="82" customFormat="1">
      <c r="A27" s="82">
        <v>11164551</v>
      </c>
      <c r="B27" s="103" t="s">
        <v>295</v>
      </c>
      <c r="C27" s="82" t="s">
        <v>296</v>
      </c>
      <c r="D27" s="104">
        <v>45.8</v>
      </c>
      <c r="E27" s="82">
        <v>17</v>
      </c>
      <c r="F27" s="104">
        <f t="shared" si="0"/>
        <v>778.59999999999991</v>
      </c>
      <c r="H27" s="105" t="s">
        <v>409</v>
      </c>
      <c r="I27" s="105" t="e">
        <f>VLOOKUP(I24,A15:F42,3,0)</f>
        <v>#N/A</v>
      </c>
    </row>
    <row r="28" spans="1:9" s="82" customFormat="1">
      <c r="A28" s="82">
        <v>11164556</v>
      </c>
      <c r="B28" s="103" t="s">
        <v>301</v>
      </c>
      <c r="C28" s="82" t="s">
        <v>300</v>
      </c>
      <c r="D28" s="104">
        <v>88.39</v>
      </c>
      <c r="E28" s="82">
        <v>2</v>
      </c>
      <c r="F28" s="104">
        <f t="shared" si="0"/>
        <v>176.78</v>
      </c>
      <c r="H28" s="105" t="s">
        <v>410</v>
      </c>
      <c r="I28" s="106" t="e">
        <f>VLOOKUP(I24,A15:F42,4,0)</f>
        <v>#N/A</v>
      </c>
    </row>
    <row r="29" spans="1:9" s="82" customFormat="1">
      <c r="A29" s="82">
        <v>11164557</v>
      </c>
      <c r="B29" s="103" t="s">
        <v>299</v>
      </c>
      <c r="C29" s="82" t="s">
        <v>296</v>
      </c>
      <c r="D29" s="104">
        <v>79.08</v>
      </c>
      <c r="E29" s="82">
        <v>12</v>
      </c>
      <c r="F29" s="104">
        <f t="shared" si="0"/>
        <v>948.96</v>
      </c>
      <c r="H29" s="105" t="s">
        <v>411</v>
      </c>
      <c r="I29" s="105" t="e">
        <f>VLOOKUP(I24,A15:F42,5,0)</f>
        <v>#N/A</v>
      </c>
    </row>
    <row r="30" spans="1:9" s="82" customFormat="1">
      <c r="A30" s="82">
        <v>11164558</v>
      </c>
      <c r="B30" s="103" t="s">
        <v>301</v>
      </c>
      <c r="C30" s="82" t="s">
        <v>303</v>
      </c>
      <c r="D30" s="104">
        <v>15.28</v>
      </c>
      <c r="E30" s="82">
        <v>7</v>
      </c>
      <c r="F30" s="104">
        <f t="shared" si="0"/>
        <v>106.96</v>
      </c>
    </row>
    <row r="31" spans="1:9" s="82" customFormat="1">
      <c r="A31" s="82">
        <v>11164559</v>
      </c>
      <c r="B31" s="103" t="s">
        <v>297</v>
      </c>
      <c r="C31" s="82" t="s">
        <v>303</v>
      </c>
      <c r="D31" s="104">
        <v>2.77</v>
      </c>
      <c r="E31" s="82">
        <v>15</v>
      </c>
      <c r="F31" s="104">
        <f t="shared" si="0"/>
        <v>41.55</v>
      </c>
      <c r="H31" s="82" t="s">
        <v>435</v>
      </c>
    </row>
    <row r="32" spans="1:9" s="82" customFormat="1">
      <c r="A32" s="82">
        <v>11164560</v>
      </c>
      <c r="B32" s="103" t="s">
        <v>295</v>
      </c>
      <c r="C32" s="82" t="s">
        <v>298</v>
      </c>
      <c r="D32" s="104">
        <v>40.96</v>
      </c>
      <c r="F32" s="104">
        <f t="shared" si="0"/>
        <v>0</v>
      </c>
      <c r="H32" s="82" t="s">
        <v>436</v>
      </c>
    </row>
    <row r="33" spans="1:9" s="82" customFormat="1">
      <c r="A33" s="82">
        <v>11164561</v>
      </c>
      <c r="B33" s="103" t="s">
        <v>295</v>
      </c>
      <c r="C33" s="82" t="s">
        <v>304</v>
      </c>
      <c r="D33" s="104">
        <v>25.07</v>
      </c>
      <c r="E33" s="82">
        <v>12</v>
      </c>
      <c r="F33" s="104">
        <f t="shared" si="0"/>
        <v>300.84000000000003</v>
      </c>
    </row>
    <row r="34" spans="1:9" s="82" customFormat="1" ht="15.75" thickBot="1">
      <c r="A34" s="82">
        <v>11164562</v>
      </c>
      <c r="B34" s="103" t="s">
        <v>301</v>
      </c>
      <c r="C34" s="82" t="s">
        <v>296</v>
      </c>
      <c r="D34" s="104">
        <v>0.84</v>
      </c>
      <c r="E34" s="82">
        <v>12</v>
      </c>
      <c r="F34" s="104">
        <f t="shared" si="0"/>
        <v>10.08</v>
      </c>
      <c r="H34" s="96" t="s">
        <v>437</v>
      </c>
      <c r="I34" s="96"/>
    </row>
    <row r="35" spans="1:9" s="82" customFormat="1">
      <c r="A35" s="82">
        <v>11164563</v>
      </c>
      <c r="B35" s="103" t="s">
        <v>301</v>
      </c>
      <c r="C35" s="82" t="s">
        <v>303</v>
      </c>
      <c r="D35" s="104">
        <v>9.42</v>
      </c>
      <c r="E35" s="82">
        <v>3</v>
      </c>
      <c r="F35" s="104">
        <f t="shared" si="0"/>
        <v>28.259999999999998</v>
      </c>
      <c r="H35" s="97" t="s">
        <v>414</v>
      </c>
      <c r="I35" s="98"/>
    </row>
    <row r="36" spans="1:9" s="82" customFormat="1">
      <c r="A36" s="82">
        <v>11164564</v>
      </c>
      <c r="B36" s="103" t="s">
        <v>297</v>
      </c>
      <c r="C36" s="82" t="s">
        <v>298</v>
      </c>
      <c r="D36" s="104">
        <v>16.02</v>
      </c>
      <c r="E36" s="82">
        <v>7</v>
      </c>
      <c r="F36" s="104">
        <f t="shared" si="0"/>
        <v>112.14</v>
      </c>
      <c r="H36" s="97" t="s">
        <v>415</v>
      </c>
      <c r="I36" s="98"/>
    </row>
    <row r="37" spans="1:9" s="82" customFormat="1">
      <c r="A37" s="82">
        <v>11164565</v>
      </c>
      <c r="B37" s="103" t="s">
        <v>295</v>
      </c>
      <c r="C37" s="82" t="s">
        <v>296</v>
      </c>
      <c r="D37" s="104">
        <v>77.83</v>
      </c>
      <c r="E37" s="82">
        <v>4</v>
      </c>
      <c r="F37" s="104">
        <f t="shared" si="0"/>
        <v>311.32</v>
      </c>
      <c r="H37" s="105" t="s">
        <v>407</v>
      </c>
      <c r="I37" s="82">
        <v>11160000</v>
      </c>
    </row>
    <row r="38" spans="1:9" s="82" customFormat="1">
      <c r="A38" s="82">
        <v>11164567</v>
      </c>
      <c r="B38" s="103" t="s">
        <v>299</v>
      </c>
      <c r="C38" s="82" t="s">
        <v>304</v>
      </c>
      <c r="D38" s="104">
        <v>1.54</v>
      </c>
      <c r="E38" s="82">
        <v>15</v>
      </c>
      <c r="F38" s="104">
        <f t="shared" si="0"/>
        <v>23.1</v>
      </c>
    </row>
    <row r="39" spans="1:9">
      <c r="A39">
        <v>11164568</v>
      </c>
      <c r="B39" s="58" t="s">
        <v>297</v>
      </c>
      <c r="C39" t="s">
        <v>303</v>
      </c>
      <c r="D39" s="59">
        <v>9.81</v>
      </c>
      <c r="E39">
        <v>1</v>
      </c>
      <c r="F39" s="59">
        <f t="shared" si="0"/>
        <v>9.81</v>
      </c>
      <c r="H39" s="94" t="s">
        <v>408</v>
      </c>
      <c r="I39" s="94" t="str">
        <f>IFERROR(VLOOKUP(I37,A16:F42,2), "Invalid Part #")</f>
        <v>Invalid Part #</v>
      </c>
    </row>
    <row r="40" spans="1:9">
      <c r="A40">
        <v>11164569</v>
      </c>
      <c r="B40" s="58" t="s">
        <v>301</v>
      </c>
      <c r="C40" t="s">
        <v>304</v>
      </c>
      <c r="D40" s="59">
        <v>1.77</v>
      </c>
      <c r="E40">
        <v>8</v>
      </c>
      <c r="F40" s="59">
        <f t="shared" si="0"/>
        <v>14.16</v>
      </c>
      <c r="H40" s="94" t="s">
        <v>409</v>
      </c>
      <c r="I40" s="94" t="str">
        <f>IF(I39= "Invalid Part #","",VLOOKUP(I37,A16:F42,3))</f>
        <v/>
      </c>
    </row>
    <row r="41" spans="1:9">
      <c r="A41">
        <v>11164570</v>
      </c>
      <c r="B41" s="58" t="s">
        <v>302</v>
      </c>
      <c r="C41" t="s">
        <v>304</v>
      </c>
      <c r="D41" s="59">
        <v>7.99</v>
      </c>
      <c r="E41">
        <v>13</v>
      </c>
      <c r="F41" s="59">
        <f t="shared" si="0"/>
        <v>103.87</v>
      </c>
      <c r="H41" s="94" t="s">
        <v>410</v>
      </c>
      <c r="I41" s="95" t="str">
        <f>IF(I39= "Invalid Part #","",VLOOKUP(I37,A16:F42,4))</f>
        <v/>
      </c>
    </row>
    <row r="42" spans="1:9">
      <c r="A42">
        <v>11164571</v>
      </c>
      <c r="B42" s="58" t="s">
        <v>301</v>
      </c>
      <c r="C42" t="s">
        <v>298</v>
      </c>
      <c r="D42" s="59">
        <v>23.54</v>
      </c>
      <c r="E42">
        <v>10</v>
      </c>
      <c r="F42" s="59">
        <f t="shared" si="0"/>
        <v>235.39999999999998</v>
      </c>
      <c r="H42" s="94" t="s">
        <v>411</v>
      </c>
      <c r="I42" s="94" t="str">
        <f>IF(I39= "Invalid Part #","",VLOOKUP(I37,A16:F42,5))</f>
        <v/>
      </c>
    </row>
  </sheetData>
  <phoneticPr fontId="0" type="noConversion"/>
  <printOptions horizontalCentered="1"/>
  <pageMargins left="0.5" right="0.5" top="0.75" bottom="0.75" header="0.3" footer="0.3"/>
  <pageSetup scale="80" orientation="landscape" r:id="rId1"/>
  <headerFooter>
    <oddFooter>&amp;LBoni Mays
Fayetteville Technical Community College&amp;C&amp;P&amp;Rwww.maysstuff.com</oddFooter>
  </headerFooter>
  <ignoredErrors>
    <ignoredError sqref="I26:I29" evalError="1"/>
  </ignoredErrors>
</worksheet>
</file>

<file path=xl/worksheets/sheet15.xml><?xml version="1.0" encoding="utf-8"?>
<worksheet xmlns="http://schemas.openxmlformats.org/spreadsheetml/2006/main" xmlns:r="http://schemas.openxmlformats.org/officeDocument/2006/relationships">
  <dimension ref="A1:H27"/>
  <sheetViews>
    <sheetView workbookViewId="0"/>
  </sheetViews>
  <sheetFormatPr defaultRowHeight="15"/>
  <cols>
    <col min="2" max="3" width="17.140625" customWidth="1"/>
    <col min="4" max="4" width="21.5703125" customWidth="1"/>
    <col min="5" max="5" width="17.28515625" customWidth="1"/>
    <col min="6" max="6" width="8.7109375" customWidth="1"/>
    <col min="7" max="7" width="10.5703125" customWidth="1"/>
    <col min="8" max="8" width="20.7109375" customWidth="1"/>
  </cols>
  <sheetData>
    <row r="1" spans="1:8" ht="22.5">
      <c r="A1" s="6" t="s">
        <v>257</v>
      </c>
    </row>
    <row r="3" spans="1:8" ht="18" thickBot="1">
      <c r="A3" s="18" t="s">
        <v>188</v>
      </c>
      <c r="B3" s="18"/>
      <c r="C3" s="18"/>
      <c r="D3" s="18"/>
      <c r="E3" s="18"/>
      <c r="F3" s="18"/>
      <c r="G3" s="18"/>
      <c r="H3" s="18"/>
    </row>
    <row r="4" spans="1:8" ht="16.5" thickTop="1" thickBot="1">
      <c r="A4" s="41" t="s">
        <v>189</v>
      </c>
      <c r="B4" s="41" t="s">
        <v>213</v>
      </c>
      <c r="C4" s="41" t="s">
        <v>214</v>
      </c>
      <c r="D4" s="41" t="s">
        <v>190</v>
      </c>
      <c r="E4" s="41" t="s">
        <v>178</v>
      </c>
      <c r="F4" s="41" t="s">
        <v>179</v>
      </c>
      <c r="G4" s="41" t="s">
        <v>191</v>
      </c>
      <c r="H4" s="41" t="s">
        <v>192</v>
      </c>
    </row>
    <row r="5" spans="1:8">
      <c r="A5">
        <v>3333</v>
      </c>
      <c r="B5" t="s">
        <v>204</v>
      </c>
      <c r="C5" t="s">
        <v>203</v>
      </c>
      <c r="D5" t="s">
        <v>224</v>
      </c>
      <c r="E5" t="s">
        <v>231</v>
      </c>
      <c r="F5" t="s">
        <v>233</v>
      </c>
      <c r="G5">
        <v>28307</v>
      </c>
      <c r="H5" s="2" t="s">
        <v>239</v>
      </c>
    </row>
    <row r="6" spans="1:8">
      <c r="A6" s="3">
        <v>2222</v>
      </c>
      <c r="B6" s="3" t="s">
        <v>202</v>
      </c>
      <c r="C6" s="3" t="s">
        <v>201</v>
      </c>
      <c r="D6" s="3" t="s">
        <v>219</v>
      </c>
      <c r="E6" s="3" t="s">
        <v>230</v>
      </c>
      <c r="F6" s="3" t="s">
        <v>233</v>
      </c>
      <c r="G6" s="3">
        <v>28306</v>
      </c>
      <c r="H6" s="56" t="s">
        <v>238</v>
      </c>
    </row>
    <row r="7" spans="1:8">
      <c r="A7">
        <v>7777</v>
      </c>
      <c r="B7" t="s">
        <v>200</v>
      </c>
      <c r="C7" t="s">
        <v>199</v>
      </c>
      <c r="D7" t="s">
        <v>218</v>
      </c>
      <c r="E7" t="s">
        <v>229</v>
      </c>
      <c r="F7" t="s">
        <v>233</v>
      </c>
      <c r="G7">
        <v>28305</v>
      </c>
      <c r="H7" s="2" t="s">
        <v>237</v>
      </c>
    </row>
    <row r="8" spans="1:8">
      <c r="A8" s="3">
        <v>5555</v>
      </c>
      <c r="B8" s="3" t="s">
        <v>210</v>
      </c>
      <c r="C8" s="3" t="s">
        <v>209</v>
      </c>
      <c r="D8" s="3" t="s">
        <v>222</v>
      </c>
      <c r="E8" s="3" t="s">
        <v>232</v>
      </c>
      <c r="F8" s="3" t="s">
        <v>233</v>
      </c>
      <c r="G8" s="3">
        <v>28390</v>
      </c>
      <c r="H8" s="56" t="s">
        <v>242</v>
      </c>
    </row>
    <row r="9" spans="1:8">
      <c r="A9">
        <v>6666</v>
      </c>
      <c r="B9" t="s">
        <v>212</v>
      </c>
      <c r="C9" t="s">
        <v>211</v>
      </c>
      <c r="D9" t="s">
        <v>223</v>
      </c>
      <c r="E9" t="s">
        <v>232</v>
      </c>
      <c r="F9" t="s">
        <v>233</v>
      </c>
      <c r="G9">
        <v>28390</v>
      </c>
      <c r="H9" s="2" t="s">
        <v>243</v>
      </c>
    </row>
    <row r="10" spans="1:8">
      <c r="A10" s="3">
        <v>1234</v>
      </c>
      <c r="B10" s="3" t="s">
        <v>198</v>
      </c>
      <c r="C10" s="3" t="s">
        <v>197</v>
      </c>
      <c r="D10" s="3" t="s">
        <v>217</v>
      </c>
      <c r="E10" s="3" t="s">
        <v>228</v>
      </c>
      <c r="F10" s="3" t="s">
        <v>233</v>
      </c>
      <c r="G10" s="3">
        <v>28304</v>
      </c>
      <c r="H10" s="56" t="s">
        <v>236</v>
      </c>
    </row>
    <row r="11" spans="1:8">
      <c r="A11">
        <v>1111</v>
      </c>
      <c r="B11" t="s">
        <v>206</v>
      </c>
      <c r="C11" t="s">
        <v>205</v>
      </c>
      <c r="D11" t="s">
        <v>220</v>
      </c>
      <c r="E11" t="s">
        <v>227</v>
      </c>
      <c r="F11" t="s">
        <v>233</v>
      </c>
      <c r="G11">
        <v>28301</v>
      </c>
      <c r="H11" s="2" t="s">
        <v>240</v>
      </c>
    </row>
    <row r="12" spans="1:8">
      <c r="A12" s="3">
        <v>4444</v>
      </c>
      <c r="B12" s="3" t="s">
        <v>208</v>
      </c>
      <c r="C12" s="3" t="s">
        <v>207</v>
      </c>
      <c r="D12" s="3" t="s">
        <v>221</v>
      </c>
      <c r="E12" s="3" t="s">
        <v>232</v>
      </c>
      <c r="F12" s="3" t="s">
        <v>233</v>
      </c>
      <c r="G12" s="3">
        <v>28390</v>
      </c>
      <c r="H12" s="56" t="s">
        <v>241</v>
      </c>
    </row>
    <row r="13" spans="1:8">
      <c r="A13">
        <v>9999</v>
      </c>
      <c r="B13" t="s">
        <v>194</v>
      </c>
      <c r="C13" t="s">
        <v>193</v>
      </c>
      <c r="D13" t="s">
        <v>215</v>
      </c>
      <c r="E13" t="s">
        <v>225</v>
      </c>
      <c r="F13" t="s">
        <v>233</v>
      </c>
      <c r="G13">
        <v>28309</v>
      </c>
      <c r="H13" s="2" t="s">
        <v>234</v>
      </c>
    </row>
    <row r="14" spans="1:8">
      <c r="A14" s="3">
        <v>8888</v>
      </c>
      <c r="B14" s="3" t="s">
        <v>196</v>
      </c>
      <c r="C14" s="3" t="s">
        <v>195</v>
      </c>
      <c r="D14" s="3" t="s">
        <v>216</v>
      </c>
      <c r="E14" s="3" t="s">
        <v>226</v>
      </c>
      <c r="F14" s="3" t="s">
        <v>233</v>
      </c>
      <c r="G14" s="3">
        <v>28302</v>
      </c>
      <c r="H14" s="56" t="s">
        <v>235</v>
      </c>
    </row>
    <row r="16" spans="1:8" ht="18" thickBot="1">
      <c r="A16" s="18" t="s">
        <v>244</v>
      </c>
      <c r="B16" s="18"/>
      <c r="C16" s="18"/>
    </row>
    <row r="17" spans="1:3" ht="16.5" thickTop="1" thickBot="1">
      <c r="A17" s="41" t="s">
        <v>245</v>
      </c>
      <c r="B17" s="41" t="s">
        <v>182</v>
      </c>
      <c r="C17" s="41" t="s">
        <v>183</v>
      </c>
    </row>
    <row r="18" spans="1:3">
      <c r="A18">
        <v>111</v>
      </c>
      <c r="B18" t="s">
        <v>247</v>
      </c>
      <c r="C18" s="42">
        <v>28</v>
      </c>
    </row>
    <row r="19" spans="1:3">
      <c r="A19" s="3">
        <v>222</v>
      </c>
      <c r="B19" s="3" t="s">
        <v>248</v>
      </c>
      <c r="C19" s="57">
        <v>21</v>
      </c>
    </row>
    <row r="20" spans="1:3">
      <c r="A20">
        <v>333</v>
      </c>
      <c r="B20" t="s">
        <v>249</v>
      </c>
      <c r="C20" s="42">
        <v>32</v>
      </c>
    </row>
    <row r="21" spans="1:3">
      <c r="A21" s="3">
        <v>444</v>
      </c>
      <c r="B21" s="3" t="s">
        <v>250</v>
      </c>
      <c r="C21" s="57">
        <v>12</v>
      </c>
    </row>
    <row r="22" spans="1:3">
      <c r="A22">
        <v>555</v>
      </c>
      <c r="B22" t="s">
        <v>251</v>
      </c>
      <c r="C22" s="42">
        <v>21</v>
      </c>
    </row>
    <row r="23" spans="1:3">
      <c r="A23" s="3">
        <v>666</v>
      </c>
      <c r="B23" s="3" t="s">
        <v>252</v>
      </c>
      <c r="C23" s="57">
        <v>47</v>
      </c>
    </row>
    <row r="24" spans="1:3">
      <c r="A24">
        <v>777</v>
      </c>
      <c r="B24" t="s">
        <v>253</v>
      </c>
      <c r="C24" s="42">
        <v>31</v>
      </c>
    </row>
    <row r="25" spans="1:3">
      <c r="A25" s="3">
        <v>888</v>
      </c>
      <c r="B25" s="3" t="s">
        <v>254</v>
      </c>
      <c r="C25" s="57">
        <v>27</v>
      </c>
    </row>
    <row r="26" spans="1:3">
      <c r="A26">
        <v>999</v>
      </c>
      <c r="B26" t="s">
        <v>255</v>
      </c>
      <c r="C26" s="42">
        <v>55</v>
      </c>
    </row>
    <row r="27" spans="1:3">
      <c r="A27" s="3">
        <v>123</v>
      </c>
      <c r="B27" s="3" t="s">
        <v>256</v>
      </c>
      <c r="C27" s="57">
        <v>14</v>
      </c>
    </row>
  </sheetData>
  <phoneticPr fontId="0" type="noConversion"/>
  <printOptions horizontalCentered="1"/>
  <pageMargins left="0.5" right="0.5" top="0.75" bottom="0.75" header="0.3" footer="0.3"/>
  <pageSetup scale="80" orientation="landscape" r:id="rId1"/>
  <headerFooter>
    <oddFooter>&amp;LBoni Mays
Fayetteville Technical Community College&amp;C&amp;P&amp;Rwww.maysstuff.com</oddFooter>
  </headerFooter>
</worksheet>
</file>

<file path=xl/worksheets/sheet16.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D115"/>
  <sheetViews>
    <sheetView topLeftCell="A7" workbookViewId="0">
      <selection activeCell="C25" sqref="C25"/>
    </sheetView>
  </sheetViews>
  <sheetFormatPr defaultRowHeight="15"/>
  <cols>
    <col min="1" max="1" width="37" customWidth="1"/>
    <col min="2" max="2" width="73.85546875" customWidth="1"/>
    <col min="3" max="3" width="57.28515625" customWidth="1"/>
  </cols>
  <sheetData>
    <row r="1" spans="1:4">
      <c r="A1" s="120" t="s">
        <v>71</v>
      </c>
      <c r="B1" s="120" t="s">
        <v>101</v>
      </c>
    </row>
    <row r="2" spans="1:4">
      <c r="A2" s="121" t="s">
        <v>443</v>
      </c>
      <c r="B2" s="122" t="s">
        <v>444</v>
      </c>
    </row>
    <row r="3" spans="1:4">
      <c r="A3" s="121" t="s">
        <v>445</v>
      </c>
      <c r="B3" s="122" t="s">
        <v>446</v>
      </c>
    </row>
    <row r="4" spans="1:4">
      <c r="A4" s="121" t="s">
        <v>447</v>
      </c>
      <c r="B4" s="122" t="s">
        <v>448</v>
      </c>
    </row>
    <row r="5" spans="1:4">
      <c r="A5" s="121" t="s">
        <v>449</v>
      </c>
      <c r="B5" s="122" t="s">
        <v>450</v>
      </c>
      <c r="D5">
        <v>1</v>
      </c>
    </row>
    <row r="6" spans="1:4">
      <c r="A6" s="121" t="s">
        <v>451</v>
      </c>
      <c r="B6" s="122" t="s">
        <v>452</v>
      </c>
    </row>
    <row r="7" spans="1:4">
      <c r="A7" s="121" t="s">
        <v>453</v>
      </c>
      <c r="B7" s="122" t="s">
        <v>454</v>
      </c>
    </row>
    <row r="8" spans="1:4">
      <c r="A8" s="121" t="s">
        <v>455</v>
      </c>
      <c r="B8" s="122" t="s">
        <v>456</v>
      </c>
    </row>
    <row r="9" spans="1:4">
      <c r="A9" s="121" t="s">
        <v>457</v>
      </c>
      <c r="B9" s="122" t="s">
        <v>458</v>
      </c>
    </row>
    <row r="10" spans="1:4">
      <c r="A10" s="123"/>
    </row>
    <row r="11" spans="1:4" ht="21">
      <c r="A11" s="124" t="s">
        <v>459</v>
      </c>
    </row>
    <row r="12" spans="1:4">
      <c r="A12" s="120" t="s">
        <v>71</v>
      </c>
      <c r="B12" s="120" t="s">
        <v>101</v>
      </c>
    </row>
    <row r="13" spans="1:4">
      <c r="A13" s="121" t="s">
        <v>460</v>
      </c>
      <c r="B13" s="122" t="s">
        <v>461</v>
      </c>
    </row>
    <row r="14" spans="1:4">
      <c r="A14" s="121" t="s">
        <v>462</v>
      </c>
      <c r="B14" s="122" t="s">
        <v>463</v>
      </c>
    </row>
    <row r="15" spans="1:4">
      <c r="A15" s="121" t="s">
        <v>68</v>
      </c>
      <c r="B15" s="122" t="s">
        <v>464</v>
      </c>
    </row>
    <row r="16" spans="1:4">
      <c r="A16" s="121" t="s">
        <v>465</v>
      </c>
      <c r="B16" s="122" t="s">
        <v>466</v>
      </c>
    </row>
    <row r="17" spans="1:4" ht="25.5">
      <c r="A17" s="121" t="s">
        <v>50</v>
      </c>
      <c r="B17" s="122" t="s">
        <v>467</v>
      </c>
    </row>
    <row r="18" spans="1:4" ht="25.5">
      <c r="A18" s="121" t="s">
        <v>52</v>
      </c>
      <c r="B18" s="122" t="s">
        <v>468</v>
      </c>
    </row>
    <row r="19" spans="1:4">
      <c r="A19" s="121" t="s">
        <v>73</v>
      </c>
      <c r="B19" s="122" t="s">
        <v>469</v>
      </c>
    </row>
    <row r="20" spans="1:4">
      <c r="A20" s="121" t="s">
        <v>165</v>
      </c>
      <c r="B20" s="122" t="s">
        <v>470</v>
      </c>
    </row>
    <row r="21" spans="1:4">
      <c r="A21" s="121" t="s">
        <v>81</v>
      </c>
      <c r="B21" s="122" t="s">
        <v>471</v>
      </c>
    </row>
    <row r="22" spans="1:4">
      <c r="A22" s="121" t="s">
        <v>472</v>
      </c>
      <c r="B22" s="122" t="s">
        <v>473</v>
      </c>
    </row>
    <row r="23" spans="1:4" ht="25.5">
      <c r="A23" s="121" t="s">
        <v>474</v>
      </c>
      <c r="B23" s="122" t="s">
        <v>475</v>
      </c>
    </row>
    <row r="24" spans="1:4">
      <c r="A24" s="121" t="s">
        <v>60</v>
      </c>
      <c r="B24" s="122" t="s">
        <v>476</v>
      </c>
    </row>
    <row r="25" spans="1:4">
      <c r="A25" s="121" t="s">
        <v>77</v>
      </c>
      <c r="B25" s="122" t="s">
        <v>477</v>
      </c>
    </row>
    <row r="26" spans="1:4" ht="21">
      <c r="A26" s="124"/>
    </row>
    <row r="27" spans="1:4" ht="21">
      <c r="A27" s="124" t="s">
        <v>478</v>
      </c>
    </row>
    <row r="28" spans="1:4">
      <c r="A28" s="120" t="s">
        <v>71</v>
      </c>
      <c r="B28" s="120" t="s">
        <v>101</v>
      </c>
    </row>
    <row r="29" spans="1:4" ht="25.5">
      <c r="A29" s="121" t="s">
        <v>479</v>
      </c>
      <c r="B29" s="122" t="s">
        <v>480</v>
      </c>
    </row>
    <row r="30" spans="1:4">
      <c r="A30" s="121" t="s">
        <v>481</v>
      </c>
      <c r="B30" s="122" t="s">
        <v>482</v>
      </c>
    </row>
    <row r="31" spans="1:4">
      <c r="A31" s="121" t="s">
        <v>483</v>
      </c>
      <c r="B31" s="122" t="s">
        <v>484</v>
      </c>
    </row>
    <row r="32" spans="1:4">
      <c r="A32" s="121" t="s">
        <v>21</v>
      </c>
      <c r="B32" s="122" t="s">
        <v>485</v>
      </c>
      <c r="D32">
        <v>1</v>
      </c>
    </row>
    <row r="33" spans="1:2">
      <c r="A33" s="121" t="s">
        <v>486</v>
      </c>
      <c r="B33" s="122" t="s">
        <v>487</v>
      </c>
    </row>
    <row r="34" spans="1:2">
      <c r="A34" s="121" t="s">
        <v>488</v>
      </c>
      <c r="B34" s="122" t="s">
        <v>489</v>
      </c>
    </row>
    <row r="35" spans="1:2">
      <c r="A35" s="121" t="s">
        <v>490</v>
      </c>
      <c r="B35" s="122" t="s">
        <v>491</v>
      </c>
    </row>
    <row r="36" spans="1:2" ht="21">
      <c r="A36" s="124"/>
    </row>
    <row r="37" spans="1:2" ht="21">
      <c r="A37" s="124" t="s">
        <v>492</v>
      </c>
    </row>
    <row r="38" spans="1:2">
      <c r="A38" s="120" t="s">
        <v>71</v>
      </c>
      <c r="B38" s="120" t="s">
        <v>101</v>
      </c>
    </row>
    <row r="39" spans="1:2">
      <c r="A39" s="121" t="s">
        <v>493</v>
      </c>
      <c r="B39" s="122" t="s">
        <v>494</v>
      </c>
    </row>
    <row r="40" spans="1:2">
      <c r="A40" s="121" t="s">
        <v>495</v>
      </c>
      <c r="B40" s="122" t="s">
        <v>496</v>
      </c>
    </row>
    <row r="41" spans="1:2">
      <c r="A41" s="121" t="s">
        <v>497</v>
      </c>
      <c r="B41" s="122" t="s">
        <v>498</v>
      </c>
    </row>
    <row r="42" spans="1:2">
      <c r="A42" s="121" t="s">
        <v>499</v>
      </c>
      <c r="B42" s="122" t="s">
        <v>500</v>
      </c>
    </row>
    <row r="43" spans="1:2">
      <c r="A43" s="121" t="s">
        <v>501</v>
      </c>
      <c r="B43" s="122" t="s">
        <v>502</v>
      </c>
    </row>
    <row r="44" spans="1:2">
      <c r="A44" s="121" t="s">
        <v>503</v>
      </c>
      <c r="B44" s="122" t="s">
        <v>504</v>
      </c>
    </row>
    <row r="45" spans="1:2">
      <c r="A45" s="121" t="s">
        <v>505</v>
      </c>
      <c r="B45" s="122" t="s">
        <v>506</v>
      </c>
    </row>
    <row r="46" spans="1:2">
      <c r="A46" s="121" t="s">
        <v>507</v>
      </c>
      <c r="B46" s="122" t="s">
        <v>508</v>
      </c>
    </row>
    <row r="47" spans="1:2">
      <c r="A47" s="121" t="s">
        <v>509</v>
      </c>
      <c r="B47" s="122" t="s">
        <v>510</v>
      </c>
    </row>
    <row r="48" spans="1:2">
      <c r="A48" s="121" t="s">
        <v>511</v>
      </c>
      <c r="B48" s="122" t="s">
        <v>512</v>
      </c>
    </row>
    <row r="49" spans="1:2" ht="23.25">
      <c r="A49" s="125"/>
    </row>
    <row r="50" spans="1:2" ht="23.25">
      <c r="A50" s="125" t="s">
        <v>513</v>
      </c>
    </row>
    <row r="51" spans="1:2">
      <c r="A51" s="120" t="s">
        <v>71</v>
      </c>
      <c r="B51" s="120" t="s">
        <v>101</v>
      </c>
    </row>
    <row r="52" spans="1:2">
      <c r="A52" s="121" t="s">
        <v>514</v>
      </c>
      <c r="B52" s="122" t="s">
        <v>515</v>
      </c>
    </row>
    <row r="53" spans="1:2">
      <c r="A53" s="121" t="b">
        <v>0</v>
      </c>
      <c r="B53" s="122" t="s">
        <v>516</v>
      </c>
    </row>
    <row r="54" spans="1:2">
      <c r="A54" s="121" t="s">
        <v>11</v>
      </c>
      <c r="B54" s="122" t="s">
        <v>517</v>
      </c>
    </row>
    <row r="55" spans="1:2">
      <c r="A55" s="121" t="s">
        <v>518</v>
      </c>
      <c r="B55" s="122" t="s">
        <v>519</v>
      </c>
    </row>
    <row r="56" spans="1:2">
      <c r="A56" s="121" t="s">
        <v>520</v>
      </c>
      <c r="B56" s="122" t="s">
        <v>521</v>
      </c>
    </row>
    <row r="57" spans="1:2">
      <c r="A57" s="121" t="b">
        <v>1</v>
      </c>
      <c r="B57" s="122" t="s">
        <v>522</v>
      </c>
    </row>
    <row r="58" spans="1:2" ht="21">
      <c r="A58" s="124"/>
    </row>
    <row r="59" spans="1:2" ht="21">
      <c r="A59" s="124" t="s">
        <v>523</v>
      </c>
    </row>
    <row r="60" spans="1:2">
      <c r="A60" s="120" t="s">
        <v>71</v>
      </c>
      <c r="B60" s="120" t="s">
        <v>101</v>
      </c>
    </row>
    <row r="61" spans="1:2">
      <c r="A61" s="121" t="s">
        <v>524</v>
      </c>
      <c r="B61" s="122" t="s">
        <v>525</v>
      </c>
    </row>
    <row r="62" spans="1:2">
      <c r="A62" s="121" t="s">
        <v>526</v>
      </c>
      <c r="B62" s="122" t="s">
        <v>527</v>
      </c>
    </row>
    <row r="63" spans="1:2">
      <c r="A63" s="121" t="s">
        <v>99</v>
      </c>
      <c r="B63" s="122" t="s">
        <v>528</v>
      </c>
    </row>
    <row r="64" spans="1:2" ht="25.5">
      <c r="A64" s="121" t="s">
        <v>529</v>
      </c>
      <c r="B64" s="122" t="s">
        <v>530</v>
      </c>
    </row>
    <row r="65" spans="1:2">
      <c r="A65" s="121" t="s">
        <v>531</v>
      </c>
      <c r="B65" s="122" t="s">
        <v>532</v>
      </c>
    </row>
    <row r="66" spans="1:2">
      <c r="A66" s="121" t="s">
        <v>533</v>
      </c>
      <c r="B66" s="122" t="s">
        <v>534</v>
      </c>
    </row>
    <row r="67" spans="1:2">
      <c r="A67" s="121" t="s">
        <v>535</v>
      </c>
      <c r="B67" s="122" t="s">
        <v>536</v>
      </c>
    </row>
    <row r="68" spans="1:2" ht="25.5">
      <c r="A68" s="121" t="s">
        <v>100</v>
      </c>
      <c r="B68" s="122" t="s">
        <v>537</v>
      </c>
    </row>
    <row r="69" spans="1:2" ht="21">
      <c r="A69" s="124"/>
    </row>
    <row r="70" spans="1:2" ht="21">
      <c r="A70" s="124" t="s">
        <v>538</v>
      </c>
    </row>
    <row r="71" spans="1:2">
      <c r="A71" s="120" t="s">
        <v>71</v>
      </c>
      <c r="B71" s="120" t="s">
        <v>101</v>
      </c>
    </row>
    <row r="72" spans="1:2">
      <c r="A72" s="121" t="s">
        <v>539</v>
      </c>
      <c r="B72" s="122" t="s">
        <v>540</v>
      </c>
    </row>
    <row r="73" spans="1:2">
      <c r="A73" s="121" t="s">
        <v>541</v>
      </c>
      <c r="B73" s="122" t="s">
        <v>542</v>
      </c>
    </row>
    <row r="74" spans="1:2">
      <c r="A74" s="121" t="s">
        <v>543</v>
      </c>
      <c r="B74" s="122" t="s">
        <v>544</v>
      </c>
    </row>
    <row r="75" spans="1:2">
      <c r="A75" s="121" t="s">
        <v>545</v>
      </c>
      <c r="B75" s="122" t="s">
        <v>546</v>
      </c>
    </row>
    <row r="76" spans="1:2">
      <c r="A76" s="121" t="s">
        <v>547</v>
      </c>
      <c r="B76" s="122" t="s">
        <v>548</v>
      </c>
    </row>
    <row r="77" spans="1:2">
      <c r="A77" s="121" t="s">
        <v>549</v>
      </c>
      <c r="B77" s="122" t="s">
        <v>550</v>
      </c>
    </row>
    <row r="78" spans="1:2">
      <c r="A78" s="121" t="s">
        <v>551</v>
      </c>
      <c r="B78" s="122" t="s">
        <v>552</v>
      </c>
    </row>
    <row r="79" spans="1:2">
      <c r="A79" s="121" t="s">
        <v>553</v>
      </c>
      <c r="B79" s="122" t="s">
        <v>554</v>
      </c>
    </row>
    <row r="80" spans="1:2">
      <c r="A80" s="121" t="s">
        <v>276</v>
      </c>
      <c r="B80" s="122" t="s">
        <v>555</v>
      </c>
    </row>
    <row r="81" spans="1:2" ht="21">
      <c r="A81" s="124"/>
    </row>
    <row r="82" spans="1:2" ht="21">
      <c r="A82" s="124" t="s">
        <v>344</v>
      </c>
    </row>
    <row r="83" spans="1:2">
      <c r="A83" s="120" t="s">
        <v>71</v>
      </c>
      <c r="B83" s="120" t="s">
        <v>101</v>
      </c>
    </row>
    <row r="84" spans="1:2">
      <c r="A84" s="121" t="s">
        <v>278</v>
      </c>
      <c r="B84" s="122" t="s">
        <v>556</v>
      </c>
    </row>
    <row r="85" spans="1:2">
      <c r="A85" s="121" t="s">
        <v>281</v>
      </c>
      <c r="B85" s="122" t="s">
        <v>557</v>
      </c>
    </row>
    <row r="86" spans="1:2">
      <c r="A86" s="121" t="s">
        <v>282</v>
      </c>
      <c r="B86" s="122" t="s">
        <v>558</v>
      </c>
    </row>
    <row r="87" spans="1:2">
      <c r="A87" s="121" t="s">
        <v>559</v>
      </c>
      <c r="B87" s="122" t="s">
        <v>560</v>
      </c>
    </row>
    <row r="88" spans="1:2">
      <c r="A88" s="121" t="s">
        <v>275</v>
      </c>
      <c r="B88" s="122" t="s">
        <v>561</v>
      </c>
    </row>
    <row r="89" spans="1:2">
      <c r="A89" s="121" t="s">
        <v>279</v>
      </c>
      <c r="B89" s="122" t="s">
        <v>562</v>
      </c>
    </row>
    <row r="90" spans="1:2">
      <c r="A90" s="121" t="s">
        <v>280</v>
      </c>
      <c r="B90" s="122" t="s">
        <v>563</v>
      </c>
    </row>
    <row r="91" spans="1:2">
      <c r="A91" s="121" t="s">
        <v>564</v>
      </c>
      <c r="B91" s="122" t="s">
        <v>565</v>
      </c>
    </row>
    <row r="92" spans="1:2">
      <c r="A92" s="123"/>
    </row>
    <row r="94" spans="1:2" ht="21">
      <c r="A94" s="124"/>
    </row>
    <row r="95" spans="1:2" ht="21">
      <c r="A95" s="124" t="s">
        <v>283</v>
      </c>
    </row>
    <row r="96" spans="1:2">
      <c r="A96" s="120" t="s">
        <v>71</v>
      </c>
      <c r="B96" s="120" t="s">
        <v>101</v>
      </c>
    </row>
    <row r="97" spans="1:2">
      <c r="A97" s="121" t="s">
        <v>566</v>
      </c>
      <c r="B97" s="122" t="s">
        <v>567</v>
      </c>
    </row>
    <row r="98" spans="1:2">
      <c r="A98" s="121" t="s">
        <v>568</v>
      </c>
      <c r="B98" s="122" t="s">
        <v>569</v>
      </c>
    </row>
    <row r="99" spans="1:2">
      <c r="A99" s="121" t="s">
        <v>570</v>
      </c>
      <c r="B99" s="122" t="s">
        <v>571</v>
      </c>
    </row>
    <row r="100" spans="1:2">
      <c r="A100" s="121" t="s">
        <v>572</v>
      </c>
      <c r="B100" s="122" t="s">
        <v>573</v>
      </c>
    </row>
    <row r="101" spans="1:2">
      <c r="A101" s="121" t="s">
        <v>574</v>
      </c>
      <c r="B101" s="122" t="s">
        <v>575</v>
      </c>
    </row>
    <row r="102" spans="1:2">
      <c r="A102" s="121" t="s">
        <v>576</v>
      </c>
      <c r="B102" s="122" t="s">
        <v>577</v>
      </c>
    </row>
    <row r="103" spans="1:2" ht="25.5">
      <c r="A103" s="121" t="s">
        <v>578</v>
      </c>
      <c r="B103" s="122" t="s">
        <v>579</v>
      </c>
    </row>
    <row r="104" spans="1:2">
      <c r="A104" s="121" t="s">
        <v>580</v>
      </c>
      <c r="B104" s="122" t="s">
        <v>581</v>
      </c>
    </row>
    <row r="105" spans="1:2">
      <c r="A105" s="121" t="s">
        <v>582</v>
      </c>
      <c r="B105" s="122" t="s">
        <v>583</v>
      </c>
    </row>
    <row r="106" spans="1:2">
      <c r="A106" s="121" t="s">
        <v>584</v>
      </c>
      <c r="B106" s="122" t="s">
        <v>585</v>
      </c>
    </row>
    <row r="107" spans="1:2">
      <c r="A107" s="121" t="s">
        <v>586</v>
      </c>
      <c r="B107" s="122" t="s">
        <v>587</v>
      </c>
    </row>
    <row r="108" spans="1:2">
      <c r="A108" s="121" t="s">
        <v>588</v>
      </c>
      <c r="B108" s="122" t="s">
        <v>589</v>
      </c>
    </row>
    <row r="109" spans="1:2">
      <c r="A109" s="121" t="s">
        <v>590</v>
      </c>
      <c r="B109" s="122" t="s">
        <v>591</v>
      </c>
    </row>
    <row r="110" spans="1:2">
      <c r="A110" s="121" t="s">
        <v>592</v>
      </c>
      <c r="B110" s="122" t="s">
        <v>593</v>
      </c>
    </row>
    <row r="111" spans="1:2">
      <c r="A111" s="121" t="s">
        <v>594</v>
      </c>
      <c r="B111" s="122" t="s">
        <v>595</v>
      </c>
    </row>
    <row r="112" spans="1:2">
      <c r="A112" s="121" t="s">
        <v>596</v>
      </c>
      <c r="B112" s="122" t="s">
        <v>597</v>
      </c>
    </row>
    <row r="113" spans="1:2">
      <c r="A113" s="121" t="s">
        <v>598</v>
      </c>
      <c r="B113" s="122" t="s">
        <v>599</v>
      </c>
    </row>
    <row r="114" spans="1:2">
      <c r="A114" s="123"/>
    </row>
    <row r="115" spans="1:2">
      <c r="A115" s="123"/>
    </row>
  </sheetData>
  <hyperlinks>
    <hyperlink ref="A2" r:id="rId1" display="javascript:go('/search/redir.aspx?AssetID=HP052090451033&amp;CTT=5&amp;Origin=HP052042111033')"/>
    <hyperlink ref="A3" r:id="rId2" display="javascript:go('/search/redir.aspx?AssetID=HP052090491033&amp;CTT=5&amp;Origin=HP052042111033')"/>
    <hyperlink ref="A4" r:id="rId3" display="javascript:go('/search/redir.aspx?AssetID=HP052090501033&amp;CTT=5&amp;Origin=HP052042111033')"/>
    <hyperlink ref="A5" r:id="rId4" display="javascript:go('/search/redir.aspx?AssetID=HP052090591033&amp;CTT=5&amp;Origin=HP052042111033')"/>
    <hyperlink ref="A6" r:id="rId5" display="javascript:go('/search/redir.aspx?AssetID=HP052090611033&amp;CTT=5&amp;Origin=HP052042111033')"/>
    <hyperlink ref="A7" r:id="rId6" display="javascript:go('/search/redir.aspx?AssetID=HP052090621033&amp;CTT=5&amp;Origin=HP052042111033')"/>
    <hyperlink ref="A8" r:id="rId7" display="javascript:go('/search/redir.aspx?AssetID=HP052090661033&amp;CTT=5&amp;Origin=HP052042111033')"/>
    <hyperlink ref="A9" r:id="rId8" display="javascript:go('/search/redir.aspx?AssetID=HP052090691033&amp;CTT=5&amp;Origin=HP052042111033')"/>
    <hyperlink ref="A13" r:id="rId9" display="javascript:go('/search/redir.aspx?AssetID=HP052090421033&amp;CTT=5&amp;Origin=HP052042111033')"/>
    <hyperlink ref="A14" r:id="rId10" display="javascript:go('/search/redir.aspx?AssetID=HP052090441033&amp;CTT=5&amp;Origin=HP052042111033')"/>
    <hyperlink ref="A15" r:id="rId11" display="javascript:go('/search/redir.aspx?AssetID=HP052090461033&amp;CTT=5&amp;Origin=HP052042111033')"/>
    <hyperlink ref="A16" r:id="rId12" display="javascript:go('/search/redir.aspx?AssetID=HP052090471033&amp;CTT=5&amp;Origin=HP052042111033')"/>
    <hyperlink ref="A17" r:id="rId13" display="javascript:go('/search/redir.aspx?AssetID=HP052090731033&amp;CTT=5&amp;Origin=HP052042111033')"/>
    <hyperlink ref="A18" r:id="rId14" display="javascript:go('/search/redir.aspx?AssetID=HP052090761033&amp;CTT=5&amp;Origin=HP052042111033')"/>
    <hyperlink ref="A19" r:id="rId15" display="javascript:go('/search/redir.aspx?AssetID=HP052091841033&amp;CTT=5&amp;Origin=HP052042111033')"/>
    <hyperlink ref="A20" r:id="rId16" display="javascript:go('/search/redir.aspx?AssetID=HP052091971033&amp;CTT=5&amp;Origin=HP052042111033')"/>
    <hyperlink ref="A21" r:id="rId17" display="javascript:go('/search/redir.aspx?AssetID=HP052093181033&amp;CTT=5&amp;Origin=HP052042111033')"/>
    <hyperlink ref="A22" r:id="rId18" display="javascript:go('/search/redir.aspx?AssetID=HP052093361033&amp;CTT=5&amp;Origin=HP052042111033')"/>
    <hyperlink ref="A23" r:id="rId19" display="javascript:go('/search/redir.aspx?AssetID=HP052093371033&amp;CTT=5&amp;Origin=HP052042111033')"/>
    <hyperlink ref="A24" r:id="rId20" display="javascript:go('/search/redir.aspx?AssetID=HP052093391033&amp;CTT=5&amp;Origin=HP052042111033')"/>
    <hyperlink ref="A25" r:id="rId21" display="javascript:go('/search/redir.aspx?AssetID=HP052093431033&amp;CTT=5&amp;Origin=HP052042111033')"/>
    <hyperlink ref="A29" r:id="rId22" display="javascript:go('/search/redir.aspx?AssetID=HP052090511033&amp;CTT=5&amp;Origin=HP052042111033')"/>
    <hyperlink ref="A30" r:id="rId23" display="javascript:go('/search/redir.aspx?AssetID=HP052090601033&amp;CTT=5&amp;Origin=HP052042111033')"/>
    <hyperlink ref="A31" r:id="rId24" display="javascript:go('/search/redir.aspx?AssetID=HP052090991033&amp;CTT=5&amp;Origin=HP052042111033')"/>
    <hyperlink ref="A32" r:id="rId25" display="javascript:go('/search/redir.aspx?AssetID=HP052092151033&amp;CTT=5&amp;Origin=HP052042111033')"/>
    <hyperlink ref="A33" r:id="rId26" display="javascript:go('/search/redir.aspx?AssetID=HP052092251033&amp;CTT=5&amp;Origin=HP052042111033')"/>
    <hyperlink ref="A34" r:id="rId27" display="javascript:go('/search/redir.aspx?AssetID=HP052092631033&amp;CTT=5&amp;Origin=HP052042111033')"/>
    <hyperlink ref="A35" r:id="rId28" display="javascript:go('/search/redir.aspx?AssetID=HP052093021033&amp;CTT=5&amp;Origin=HP052042111033')"/>
    <hyperlink ref="A39" r:id="rId29" display="javascript:go('/search/redir.aspx?AssetID=HP052090081033&amp;CTT=5&amp;Origin=HP052042111033')"/>
    <hyperlink ref="A40" r:id="rId30" display="javascript:go('/search/redir.aspx?AssetID=HP052090791033&amp;CTT=5&amp;Origin=HP052042111033')"/>
    <hyperlink ref="A41" r:id="rId31" display="javascript:go('/search/redir.aspx?AssetID=HP052091401033&amp;CTT=5&amp;Origin=HP052042111033')"/>
    <hyperlink ref="A42" r:id="rId32" display="javascript:go('/search/redir.aspx?AssetID=HP052091471033&amp;CTT=5&amp;Origin=HP052042111033')"/>
    <hyperlink ref="A43" r:id="rId33" display="javascript:go('/search/redir.aspx?AssetID=HP052091471033&amp;CTT=5&amp;Origin=HP052042111033')"/>
    <hyperlink ref="A44" r:id="rId34" display="javascript:go('/search/redir.aspx?AssetID=HP052091471033&amp;CTT=5&amp;Origin=HP052042111033')"/>
    <hyperlink ref="A45" r:id="rId35" display="javascript:go('/search/redir.aspx?AssetID=HP052091471033&amp;CTT=5&amp;Origin=HP052042111033')"/>
    <hyperlink ref="A46" r:id="rId36" display="javascript:go('/search/redir.aspx?AssetID=HP052091471033&amp;CTT=5&amp;Origin=HP052042111033')"/>
    <hyperlink ref="A47" r:id="rId37" display="javascript:go('/search/redir.aspx?AssetID=HP052091471033&amp;CTT=5&amp;Origin=HP052042111033')"/>
    <hyperlink ref="A48" r:id="rId38" display="javascript:go('/search/redir.aspx?AssetID=HP052091471033&amp;CTT=5&amp;Origin=HP052042111033')"/>
    <hyperlink ref="A52" r:id="rId39" display="javascript:go('/search/redir.aspx?AssetID=HP052089861033&amp;CTT=5&amp;Origin=HP052042111033')"/>
    <hyperlink ref="A53" r:id="rId40" display="javascript:go('/search/redir.aspx?AssetID=HP052090861033&amp;CTT=5&amp;Origin=HP052042111033')"/>
    <hyperlink ref="A54" r:id="rId41" display="javascript:go('/search/redir.aspx?AssetID=HP052091181033&amp;CTT=5&amp;Origin=HP052042111033')"/>
    <hyperlink ref="A55" r:id="rId42" display="javascript:go('/search/redir.aspx?AssetID=HP052091961033&amp;CTT=5&amp;Origin=HP052042111033')"/>
    <hyperlink ref="A56" r:id="rId43" display="javascript:go('/search/redir.aspx?AssetID=HP052092091033&amp;CTT=5&amp;Origin=HP052042111033')"/>
    <hyperlink ref="A57" r:id="rId44" display="javascript:go('/search/redir.aspx?AssetID=HP052093231033&amp;CTT=5&amp;Origin=HP052042111033')"/>
    <hyperlink ref="A61" r:id="rId45" display="javascript:go('/search/redir.aspx?AssetID=HP052090131033&amp;CTT=5&amp;Origin=HP052042111033')"/>
    <hyperlink ref="A62" r:id="rId46" display="javascript:go('/search/redir.aspx?AssetID=HP052091071033&amp;CTT=5&amp;Origin=HP052042111033')"/>
    <hyperlink ref="A63" r:id="rId47" display="javascript:go('/search/redir.aspx?AssetID=HP052091141033&amp;CTT=5&amp;Origin=HP052042111033')"/>
    <hyperlink ref="A64" r:id="rId48" display="javascript:go('/search/redir.aspx?AssetID=HP052091161033&amp;CTT=5&amp;Origin=HP052042111033')"/>
    <hyperlink ref="A65" r:id="rId49" display="javascript:go('/search/redir.aspx?AssetID=HP052091381033&amp;CTT=5&amp;Origin=HP052042111033')"/>
    <hyperlink ref="A66" r:id="rId50" display="javascript:go('/search/redir.aspx?AssetID=HP052091631033&amp;CTT=5&amp;Origin=HP052042111033')"/>
    <hyperlink ref="A67" r:id="rId51" display="javascript:go('/search/redir.aspx?AssetID=HP052093191033&amp;CTT=5&amp;Origin=HP052042111033')"/>
    <hyperlink ref="A68" r:id="rId52" display="javascript:go('/search/redir.aspx?AssetID=HP052093351033&amp;CTT=5&amp;Origin=HP052042111033')"/>
    <hyperlink ref="A72" r:id="rId53" display="javascript:go('/search/redir.aspx?AssetID=HP052092291033&amp;CTT=5&amp;Origin=HP052042111033')"/>
    <hyperlink ref="A73" r:id="rId54" display="javascript:go('/search/redir.aspx?AssetID=HP052092301033&amp;CTT=5&amp;Origin=HP052042111033')"/>
    <hyperlink ref="A74" r:id="rId55" display="javascript:go('/search/redir.aspx?AssetID=HP052092391033&amp;CTT=5&amp;Origin=HP052042111033')"/>
    <hyperlink ref="A75" r:id="rId56" display="javascript:go('/search/redir.aspx?AssetID=HP052092411033&amp;CTT=5&amp;Origin=HP052042111033')"/>
    <hyperlink ref="A76" r:id="rId57" display="javascript:go('/search/redir.aspx?AssetID=HP052092421033&amp;CTT=5&amp;Origin=HP052042111033')"/>
    <hyperlink ref="A77" r:id="rId58" display="javascript:go('/search/redir.aspx?AssetID=HP052092551033&amp;CTT=5&amp;Origin=HP052042111033')"/>
    <hyperlink ref="A78" r:id="rId59" display="javascript:go('/search/redir.aspx?AssetID=HP052092881033&amp;CTT=5&amp;Origin=HP052042111033')"/>
    <hyperlink ref="A79" r:id="rId60" display="javascript:go('/search/redir.aspx?AssetID=HP052092901033&amp;CTT=5&amp;Origin=HP052042111033')"/>
    <hyperlink ref="A80" r:id="rId61" display="javascript:go('/search/redir.aspx?AssetID=HP052092921033&amp;CTT=5&amp;Origin=HP052042111033')"/>
    <hyperlink ref="A84" r:id="rId62" display="javascript:go('/search/redir.aspx?AssetID=HP052089941033&amp;CTT=5&amp;Origin=HP052042111033')"/>
    <hyperlink ref="A85" r:id="rId63" display="javascript:go('/search/redir.aspx?AssetID=HP052090261033&amp;CTT=5&amp;Origin=HP052042111033')"/>
    <hyperlink ref="A86" r:id="rId64" display="javascript:go('/search/redir.aspx?AssetID=HP052090271033&amp;CTT=5&amp;Origin=HP052042111033')"/>
    <hyperlink ref="A87" r:id="rId65" display="javascript:go('/search/redir.aspx?AssetID=HP052090281033&amp;CTT=5&amp;Origin=HP052042111033')"/>
    <hyperlink ref="A88" r:id="rId66" display="javascript:go('/search/redir.aspx?AssetID=HP052090291033&amp;CTT=5&amp;Origin=HP052042111033')"/>
    <hyperlink ref="A89" r:id="rId67" display="javascript:go('/search/redir.aspx?AssetID=HP052091701033&amp;CTT=5&amp;Origin=HP052042111033')"/>
    <hyperlink ref="A90" r:id="rId68" display="javascript:go('/search/redir.aspx?AssetID=HP052091761033&amp;CTT=5&amp;Origin=HP052042111033')"/>
    <hyperlink ref="A91" r:id="rId69" display="javascript:go('/search/redir.aspx?AssetID=HP052092311033&amp;CTT=5&amp;Origin=HP052042111033')"/>
    <hyperlink ref="A97" r:id="rId70" display="javascript:go('/search/redir.aspx?AssetID=HP052090141033&amp;CTT=5&amp;Origin=HP052042111033')"/>
    <hyperlink ref="A98" r:id="rId71" display="javascript:go('/search/redir.aspx?AssetID=HP052090201033&amp;CTT=5&amp;Origin=HP052042111033')"/>
    <hyperlink ref="A99" r:id="rId72" display="javascript:go('/search/redir.aspx?AssetID=HP052090891033&amp;CTT=5&amp;Origin=HP052042111033')"/>
    <hyperlink ref="A100" r:id="rId73" display="javascript:go('/search/redir.aspx?AssetID=HP052091531033&amp;CTT=5&amp;Origin=HP052042111033')"/>
    <hyperlink ref="A101" r:id="rId74" display="javascript:go('/search/redir.aspx?AssetID=HP052091541033&amp;CTT=5&amp;Origin=HP052042111033')"/>
    <hyperlink ref="A102" r:id="rId75" display="javascript:go('/search/redir.aspx?AssetID=HP052091671033&amp;CTT=5&amp;Origin=HP052042111033')"/>
    <hyperlink ref="A103" r:id="rId76" display="javascript:go('/search/redir.aspx?AssetID=HP052091751033&amp;CTT=5&amp;Origin=HP052042111033')"/>
    <hyperlink ref="A104" r:id="rId77" display="javascript:go('/search/redir.aspx?AssetID=HP052092241033&amp;CTT=5&amp;Origin=HP052042111033')"/>
    <hyperlink ref="A105" r:id="rId78" display="javascript:go('/search/redir.aspx?AssetID=HP052092351033&amp;CTT=5&amp;Origin=HP052042111033')"/>
    <hyperlink ref="A106" r:id="rId79" display="javascript:go('/search/redir.aspx?AssetID=HP052092361033&amp;CTT=5&amp;Origin=HP052042111033')"/>
    <hyperlink ref="A107" r:id="rId80" display="javascript:go('/search/redir.aspx?AssetID=HP052092371033&amp;CTT=5&amp;Origin=HP052042111033')"/>
    <hyperlink ref="A108" r:id="rId81" display="javascript:go('/search/redir.aspx?AssetID=HP052092491033&amp;CTT=5&amp;Origin=HP052042111033')"/>
    <hyperlink ref="A109" r:id="rId82" display="javascript:go('/search/redir.aspx?AssetID=HP052092861033&amp;CTT=5&amp;Origin=HP052042111033')"/>
    <hyperlink ref="A110" r:id="rId83" display="javascript:go('/search/redir.aspx?AssetID=HP052093131033&amp;CTT=5&amp;Origin=HP052042111033')"/>
    <hyperlink ref="A111" r:id="rId84" display="javascript:go('/search/redir.aspx?AssetID=HP052093211033&amp;CTT=5&amp;Origin=HP052042111033')"/>
    <hyperlink ref="A112" r:id="rId85" display="javascript:go('/search/redir.aspx?AssetID=HP052093271033&amp;CTT=5&amp;Origin=HP052042111033')"/>
    <hyperlink ref="A113" r:id="rId86" display="javascript:go('/search/redir.aspx?AssetID=HP052093291033&amp;CTT=5&amp;Origin=HP052042111033')"/>
  </hyperlinks>
  <pageMargins left="0.7" right="0.7" top="0.75" bottom="0.75" header="0.3" footer="0.3"/>
  <pageSetup orientation="portrait" r:id="rId87"/>
  <drawing r:id="rId88"/>
</worksheet>
</file>

<file path=xl/worksheets/sheet18.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61"/>
  <sheetViews>
    <sheetView showGridLines="0" zoomScale="90" zoomScaleNormal="90" workbookViewId="0">
      <selection activeCell="I3" sqref="I3"/>
    </sheetView>
  </sheetViews>
  <sheetFormatPr defaultRowHeight="15"/>
  <cols>
    <col min="1" max="1" width="33.85546875" style="140" customWidth="1"/>
    <col min="2" max="3" width="12.85546875" style="126" customWidth="1"/>
    <col min="4" max="4" width="20.28515625" style="140" customWidth="1"/>
    <col min="5" max="16384" width="9.140625" style="140"/>
  </cols>
  <sheetData>
    <row r="1" spans="1:6" ht="15" customHeight="1">
      <c r="A1" s="136" t="s">
        <v>604</v>
      </c>
      <c r="B1" s="128"/>
      <c r="C1" s="128"/>
      <c r="D1" s="138"/>
      <c r="E1" s="138"/>
      <c r="F1" s="139"/>
    </row>
    <row r="2" spans="1:6" ht="15" customHeight="1">
      <c r="A2" s="141"/>
      <c r="B2" s="129" t="s">
        <v>601</v>
      </c>
      <c r="C2" s="129" t="s">
        <v>602</v>
      </c>
      <c r="D2" s="142"/>
      <c r="E2" s="142"/>
      <c r="F2" s="143"/>
    </row>
    <row r="3" spans="1:6" ht="15" customHeight="1">
      <c r="A3" s="144" t="s">
        <v>600</v>
      </c>
      <c r="B3" s="130">
        <v>2300</v>
      </c>
      <c r="C3" s="130">
        <v>2492.4299999999998</v>
      </c>
      <c r="D3" s="142" t="str">
        <f>IF(C3&gt;B3,"Over Budget","")</f>
        <v>Over Budget</v>
      </c>
      <c r="E3" s="142"/>
      <c r="F3" s="143"/>
    </row>
    <row r="4" spans="1:6" ht="15" customHeight="1">
      <c r="A4" s="145"/>
      <c r="B4" s="131"/>
      <c r="C4" s="131"/>
      <c r="D4" s="146"/>
      <c r="E4" s="146"/>
      <c r="F4" s="147"/>
    </row>
    <row r="5" spans="1:6" ht="15" customHeight="1"/>
    <row r="6" spans="1:6" ht="15" customHeight="1">
      <c r="A6" s="137" t="s">
        <v>603</v>
      </c>
      <c r="B6" s="132"/>
      <c r="C6" s="132"/>
      <c r="D6" s="148"/>
      <c r="E6" s="148"/>
      <c r="F6" s="149"/>
    </row>
    <row r="7" spans="1:6" ht="15" customHeight="1">
      <c r="A7" s="150"/>
      <c r="B7" s="134" t="s">
        <v>601</v>
      </c>
      <c r="C7" s="134" t="s">
        <v>602</v>
      </c>
      <c r="D7" s="151"/>
      <c r="E7" s="151"/>
      <c r="F7" s="152"/>
    </row>
    <row r="8" spans="1:6" ht="15" customHeight="1">
      <c r="A8" s="153" t="s">
        <v>600</v>
      </c>
      <c r="B8" s="133">
        <v>2300</v>
      </c>
      <c r="C8" s="133">
        <v>2492.4299999999998</v>
      </c>
      <c r="D8" s="151" t="str">
        <f>IF(C8&gt;B8,"Over Budget by $"&amp;C8-B8,"")</f>
        <v>Over Budget by $192.43</v>
      </c>
      <c r="E8" s="151"/>
      <c r="F8" s="152"/>
    </row>
    <row r="9" spans="1:6" ht="15" customHeight="1">
      <c r="A9" s="154"/>
      <c r="B9" s="135"/>
      <c r="C9" s="135"/>
      <c r="D9" s="155"/>
      <c r="E9" s="155"/>
      <c r="F9" s="156"/>
    </row>
    <row r="10" spans="1:6" ht="15" customHeight="1"/>
    <row r="11" spans="1:6" ht="15" customHeight="1">
      <c r="A11" s="172" t="s">
        <v>623</v>
      </c>
      <c r="B11" s="157"/>
      <c r="C11" s="157"/>
      <c r="D11" s="158"/>
      <c r="E11" s="158"/>
      <c r="F11" s="159"/>
    </row>
    <row r="12" spans="1:6" ht="15" customHeight="1">
      <c r="A12" s="160"/>
      <c r="B12" s="161" t="s">
        <v>601</v>
      </c>
      <c r="C12" s="161" t="s">
        <v>602</v>
      </c>
      <c r="D12" s="162"/>
      <c r="E12" s="162"/>
      <c r="F12" s="163"/>
    </row>
    <row r="13" spans="1:6" ht="15" customHeight="1">
      <c r="A13" s="164" t="s">
        <v>605</v>
      </c>
      <c r="B13" s="165">
        <v>2139.5500000000002</v>
      </c>
      <c r="C13" s="166">
        <v>2674.44</v>
      </c>
      <c r="D13" s="162" t="str">
        <f t="shared" ref="D13:D30" si="0">IF(C13&gt;B13,"Over Budget by $"&amp;C13-B13,"")</f>
        <v>Over Budget by $534.89</v>
      </c>
      <c r="E13" s="162"/>
      <c r="F13" s="163"/>
    </row>
    <row r="14" spans="1:6" ht="15" customHeight="1">
      <c r="A14" s="164" t="s">
        <v>606</v>
      </c>
      <c r="B14" s="165">
        <v>37.340000000000003</v>
      </c>
      <c r="C14" s="166">
        <v>48.54</v>
      </c>
      <c r="D14" s="162" t="str">
        <f t="shared" si="0"/>
        <v>Over Budget by $11.2</v>
      </c>
      <c r="E14" s="162"/>
      <c r="F14" s="163"/>
    </row>
    <row r="15" spans="1:6">
      <c r="A15" s="164" t="s">
        <v>607</v>
      </c>
      <c r="B15" s="165">
        <v>750</v>
      </c>
      <c r="C15" s="166">
        <v>500</v>
      </c>
      <c r="D15" s="162" t="str">
        <f t="shared" si="0"/>
        <v/>
      </c>
      <c r="E15" s="162"/>
      <c r="F15" s="163"/>
    </row>
    <row r="16" spans="1:6">
      <c r="A16" s="164" t="s">
        <v>608</v>
      </c>
      <c r="B16" s="165">
        <v>26654.799999999999</v>
      </c>
      <c r="C16" s="166">
        <v>34651.24</v>
      </c>
      <c r="D16" s="162" t="str">
        <f t="shared" si="0"/>
        <v>Over Budget by $7996.44</v>
      </c>
      <c r="E16" s="162"/>
      <c r="F16" s="163"/>
    </row>
    <row r="17" spans="1:6">
      <c r="A17" s="164" t="s">
        <v>609</v>
      </c>
      <c r="B17" s="165">
        <v>1282.53</v>
      </c>
      <c r="C17" s="166">
        <v>1603.16</v>
      </c>
      <c r="D17" s="162" t="str">
        <f t="shared" si="0"/>
        <v>Over Budget by $320.63</v>
      </c>
      <c r="E17" s="162"/>
      <c r="F17" s="163"/>
    </row>
    <row r="18" spans="1:6">
      <c r="A18" s="164" t="s">
        <v>610</v>
      </c>
      <c r="B18" s="165">
        <v>6051.13</v>
      </c>
      <c r="C18" s="166">
        <v>7866.47</v>
      </c>
      <c r="D18" s="162" t="str">
        <f t="shared" si="0"/>
        <v>Over Budget by $1815.34</v>
      </c>
      <c r="E18" s="162"/>
      <c r="F18" s="163"/>
    </row>
    <row r="19" spans="1:6">
      <c r="A19" s="164" t="s">
        <v>611</v>
      </c>
      <c r="B19" s="165">
        <v>1235.8699999999999</v>
      </c>
      <c r="C19" s="166">
        <v>1544.84</v>
      </c>
      <c r="D19" s="162" t="str">
        <f t="shared" si="0"/>
        <v>Over Budget by $308.97</v>
      </c>
      <c r="E19" s="162"/>
      <c r="F19" s="163"/>
    </row>
    <row r="20" spans="1:6">
      <c r="A20" s="164" t="s">
        <v>612</v>
      </c>
      <c r="B20" s="165">
        <v>124.5</v>
      </c>
      <c r="C20" s="166">
        <v>85.03</v>
      </c>
      <c r="D20" s="162" t="str">
        <f t="shared" si="0"/>
        <v/>
      </c>
      <c r="E20" s="162"/>
      <c r="F20" s="163"/>
    </row>
    <row r="21" spans="1:6">
      <c r="A21" s="164" t="s">
        <v>613</v>
      </c>
      <c r="B21" s="165">
        <v>3950.05</v>
      </c>
      <c r="C21" s="166">
        <v>4937.5600000000004</v>
      </c>
      <c r="D21" s="162" t="str">
        <f t="shared" si="0"/>
        <v>Over Budget by $987.51</v>
      </c>
      <c r="E21" s="162"/>
      <c r="F21" s="163"/>
    </row>
    <row r="22" spans="1:6">
      <c r="A22" s="164" t="s">
        <v>614</v>
      </c>
      <c r="B22" s="165">
        <v>11697</v>
      </c>
      <c r="C22" s="166">
        <v>15206.1</v>
      </c>
      <c r="D22" s="162" t="str">
        <f t="shared" si="0"/>
        <v>Over Budget by $3509.1</v>
      </c>
      <c r="E22" s="162"/>
      <c r="F22" s="163"/>
    </row>
    <row r="23" spans="1:6">
      <c r="A23" s="164" t="s">
        <v>615</v>
      </c>
      <c r="B23" s="165">
        <v>1876.7</v>
      </c>
      <c r="C23" s="166">
        <v>1481.09</v>
      </c>
      <c r="D23" s="162" t="str">
        <f t="shared" si="0"/>
        <v/>
      </c>
      <c r="E23" s="162"/>
      <c r="F23" s="163"/>
    </row>
    <row r="24" spans="1:6">
      <c r="A24" s="164" t="s">
        <v>616</v>
      </c>
      <c r="B24" s="165">
        <v>90</v>
      </c>
      <c r="C24" s="166">
        <v>117</v>
      </c>
      <c r="D24" s="162" t="str">
        <f t="shared" si="0"/>
        <v>Over Budget by $27</v>
      </c>
      <c r="E24" s="162"/>
      <c r="F24" s="163"/>
    </row>
    <row r="25" spans="1:6">
      <c r="A25" s="164" t="s">
        <v>617</v>
      </c>
      <c r="B25" s="165">
        <v>21010.25</v>
      </c>
      <c r="C25" s="166">
        <v>26262.81</v>
      </c>
      <c r="D25" s="162" t="str">
        <f t="shared" si="0"/>
        <v>Over Budget by $5252.56</v>
      </c>
      <c r="E25" s="162"/>
      <c r="F25" s="163"/>
    </row>
    <row r="26" spans="1:6">
      <c r="A26" s="164" t="s">
        <v>618</v>
      </c>
      <c r="B26" s="165">
        <v>6861.83</v>
      </c>
      <c r="C26" s="166">
        <v>8920.3799999999992</v>
      </c>
      <c r="D26" s="162" t="str">
        <f t="shared" si="0"/>
        <v>Over Budget by $2058.55</v>
      </c>
      <c r="E26" s="162"/>
      <c r="F26" s="163"/>
    </row>
    <row r="27" spans="1:6">
      <c r="A27" s="164" t="s">
        <v>619</v>
      </c>
      <c r="B27" s="165">
        <v>5789.74</v>
      </c>
      <c r="C27" s="166">
        <v>7237.18</v>
      </c>
      <c r="D27" s="162" t="str">
        <f t="shared" si="0"/>
        <v>Over Budget by $1447.44</v>
      </c>
      <c r="E27" s="162"/>
      <c r="F27" s="163"/>
    </row>
    <row r="28" spans="1:6">
      <c r="A28" s="164" t="s">
        <v>620</v>
      </c>
      <c r="B28" s="165">
        <v>4563.21</v>
      </c>
      <c r="C28" s="166">
        <v>508.95</v>
      </c>
      <c r="D28" s="162" t="str">
        <f t="shared" si="0"/>
        <v/>
      </c>
      <c r="E28" s="162"/>
      <c r="F28" s="163"/>
    </row>
    <row r="29" spans="1:6">
      <c r="A29" s="164" t="s">
        <v>621</v>
      </c>
      <c r="B29" s="165">
        <v>172000</v>
      </c>
      <c r="C29" s="166">
        <v>215000</v>
      </c>
      <c r="D29" s="162" t="str">
        <f t="shared" si="0"/>
        <v>Over Budget by $43000</v>
      </c>
      <c r="E29" s="162"/>
      <c r="F29" s="163"/>
    </row>
    <row r="30" spans="1:6">
      <c r="A30" s="167" t="s">
        <v>622</v>
      </c>
      <c r="B30" s="168">
        <v>564.66999999999996</v>
      </c>
      <c r="C30" s="169">
        <v>655.43</v>
      </c>
      <c r="D30" s="170" t="str">
        <f t="shared" si="0"/>
        <v>Over Budget by $90.76</v>
      </c>
      <c r="E30" s="170"/>
      <c r="F30" s="171"/>
    </row>
    <row r="50" spans="1:3">
      <c r="A50" s="37"/>
    </row>
    <row r="51" spans="1:3">
      <c r="A51" s="37"/>
    </row>
    <row r="52" spans="1:3">
      <c r="A52" s="37"/>
    </row>
    <row r="53" spans="1:3" s="174" customFormat="1" ht="15.75" thickBot="1">
      <c r="A53" s="175" t="s">
        <v>624</v>
      </c>
      <c r="B53" s="176" t="s">
        <v>359</v>
      </c>
      <c r="C53" s="177" t="s">
        <v>626</v>
      </c>
    </row>
    <row r="54" spans="1:3">
      <c r="A54" s="178" t="s">
        <v>630</v>
      </c>
      <c r="B54" s="179">
        <v>45</v>
      </c>
      <c r="C54" s="180" t="str">
        <f>IF(B54&gt;89,"A",IF(B54&gt;79,"B", IF(B54&gt;69,"C",IF(B54&gt;59,"D","F"))))</f>
        <v>F</v>
      </c>
    </row>
    <row r="55" spans="1:3">
      <c r="A55" s="178" t="s">
        <v>625</v>
      </c>
      <c r="B55" s="179">
        <v>90</v>
      </c>
      <c r="C55" s="180" t="str">
        <f t="shared" ref="C55:C60" si="1">IF(B55&gt;89,"A",IF(B55&gt;79,"B", IF(B55&gt;69,"C",IF(B55&gt;59,"D","F"))))</f>
        <v>A</v>
      </c>
    </row>
    <row r="56" spans="1:3" ht="15.75" customHeight="1">
      <c r="A56" s="178" t="s">
        <v>629</v>
      </c>
      <c r="B56" s="179">
        <v>78</v>
      </c>
      <c r="C56" s="180" t="str">
        <f t="shared" si="1"/>
        <v>C</v>
      </c>
    </row>
    <row r="57" spans="1:3" ht="15.75" customHeight="1">
      <c r="A57" s="178" t="s">
        <v>627</v>
      </c>
      <c r="B57" s="181">
        <v>92</v>
      </c>
      <c r="C57" s="180" t="str">
        <f t="shared" si="1"/>
        <v>A</v>
      </c>
    </row>
    <row r="58" spans="1:3" ht="15.75" customHeight="1">
      <c r="A58" s="178" t="s">
        <v>628</v>
      </c>
      <c r="B58" s="179">
        <v>95</v>
      </c>
      <c r="C58" s="180" t="str">
        <f t="shared" si="1"/>
        <v>A</v>
      </c>
    </row>
    <row r="59" spans="1:3" ht="15.75" customHeight="1">
      <c r="A59" s="182" t="s">
        <v>631</v>
      </c>
      <c r="B59" s="179">
        <v>87</v>
      </c>
      <c r="C59" s="180" t="str">
        <f t="shared" si="1"/>
        <v>B</v>
      </c>
    </row>
    <row r="60" spans="1:3" ht="15.75" customHeight="1">
      <c r="A60" s="183" t="s">
        <v>632</v>
      </c>
      <c r="B60" s="184">
        <v>62</v>
      </c>
      <c r="C60" s="185" t="str">
        <f t="shared" si="1"/>
        <v>D</v>
      </c>
    </row>
    <row r="61" spans="1:3" ht="15.75" customHeight="1"/>
  </sheetData>
  <conditionalFormatting sqref="B13:C30 A14:A30">
    <cfRule type="expression" dxfId="1" priority="2" stopIfTrue="1">
      <formula>"istext(b3:i34)"</formula>
    </cfRule>
  </conditionalFormatting>
  <conditionalFormatting sqref="A13">
    <cfRule type="expression" dxfId="0" priority="1" stopIfTrue="1">
      <formula>"istext(b3)"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codeName="Sheet1"/>
  <dimension ref="A1:M30"/>
  <sheetViews>
    <sheetView showGridLines="0" zoomScale="110" zoomScaleNormal="110" workbookViewId="0">
      <selection activeCell="D11" sqref="D11"/>
    </sheetView>
  </sheetViews>
  <sheetFormatPr defaultRowHeight="15"/>
  <cols>
    <col min="1" max="4" width="16" customWidth="1"/>
    <col min="5" max="11" width="13.28515625" customWidth="1"/>
    <col min="12" max="12" width="13.28515625" style="100" customWidth="1"/>
    <col min="13" max="13" width="13.28515625" customWidth="1"/>
    <col min="17" max="17" width="9.5703125" customWidth="1"/>
  </cols>
  <sheetData>
    <row r="1" spans="1:13" ht="19.5">
      <c r="A1" s="213" t="s">
        <v>654</v>
      </c>
      <c r="B1" s="213"/>
      <c r="C1" s="213"/>
      <c r="D1" s="213"/>
      <c r="E1" s="207"/>
      <c r="F1" s="207"/>
      <c r="G1" s="207"/>
      <c r="H1" s="207"/>
      <c r="I1" s="207"/>
      <c r="J1" s="207"/>
      <c r="K1" s="207"/>
      <c r="L1" s="214"/>
    </row>
    <row r="2" spans="1:13" ht="19.5">
      <c r="A2" s="244" t="s">
        <v>10</v>
      </c>
      <c r="B2" s="245"/>
      <c r="C2" s="245"/>
      <c r="D2" s="245"/>
      <c r="E2" s="207"/>
      <c r="F2" s="207"/>
      <c r="G2" s="207"/>
      <c r="H2" s="207"/>
      <c r="I2" s="207"/>
      <c r="J2" s="207"/>
      <c r="K2" s="207"/>
      <c r="L2" s="214"/>
    </row>
    <row r="3" spans="1:13" ht="19.5">
      <c r="A3" s="245"/>
      <c r="B3" s="245"/>
      <c r="C3" s="245"/>
      <c r="D3" s="245"/>
      <c r="E3" s="207"/>
      <c r="F3" s="207"/>
      <c r="G3" s="207"/>
      <c r="H3" s="207"/>
      <c r="I3" s="207"/>
      <c r="J3" s="207"/>
      <c r="K3" s="207"/>
      <c r="L3" s="214"/>
    </row>
    <row r="4" spans="1:13">
      <c r="A4" s="217"/>
      <c r="B4" s="207"/>
      <c r="C4" s="207"/>
      <c r="D4" s="207"/>
      <c r="E4" s="207"/>
      <c r="F4" s="207"/>
      <c r="G4" s="207"/>
      <c r="H4" s="207"/>
      <c r="I4" s="207"/>
      <c r="J4" s="207"/>
      <c r="K4" s="207"/>
      <c r="L4" s="208"/>
      <c r="M4" t="s">
        <v>7</v>
      </c>
    </row>
    <row r="5" spans="1:13" ht="15" customHeight="1">
      <c r="A5" s="221" t="s">
        <v>182</v>
      </c>
      <c r="B5" s="223" t="s">
        <v>655</v>
      </c>
      <c r="C5" s="222" t="s">
        <v>653</v>
      </c>
      <c r="D5" s="215" t="s">
        <v>9</v>
      </c>
      <c r="E5" s="207"/>
      <c r="F5" s="207"/>
      <c r="G5" s="207"/>
      <c r="H5" s="207"/>
      <c r="I5" s="207"/>
      <c r="J5" s="244"/>
      <c r="K5" s="207"/>
      <c r="L5" s="209"/>
      <c r="M5" t="s">
        <v>8</v>
      </c>
    </row>
    <row r="6" spans="1:13">
      <c r="A6" s="217" t="s">
        <v>651</v>
      </c>
      <c r="B6" s="218">
        <v>39508</v>
      </c>
      <c r="C6" s="224" t="s">
        <v>7</v>
      </c>
      <c r="D6" s="210">
        <f>IF(C6="Yes",235,0)</f>
        <v>235</v>
      </c>
      <c r="E6" s="207"/>
      <c r="F6" s="207"/>
      <c r="G6" s="207"/>
      <c r="H6" s="207"/>
      <c r="I6" s="207"/>
      <c r="J6" s="244"/>
      <c r="K6" s="207"/>
      <c r="L6" s="208"/>
    </row>
    <row r="7" spans="1:13">
      <c r="A7" s="217" t="s">
        <v>652</v>
      </c>
      <c r="B7" s="219">
        <v>38657</v>
      </c>
      <c r="C7" s="225" t="s">
        <v>8</v>
      </c>
      <c r="D7" s="212">
        <f>IF(C7="Yes",235,0)</f>
        <v>0</v>
      </c>
      <c r="E7" s="207"/>
      <c r="F7" s="207"/>
      <c r="G7" s="207"/>
      <c r="H7" s="207"/>
      <c r="I7" s="207"/>
      <c r="J7" s="244"/>
      <c r="K7" s="207"/>
      <c r="L7" s="208"/>
    </row>
    <row r="8" spans="1:13">
      <c r="A8" s="207" t="s">
        <v>5</v>
      </c>
      <c r="B8" s="218">
        <v>37773</v>
      </c>
      <c r="C8" s="224" t="s">
        <v>8</v>
      </c>
      <c r="D8" s="210">
        <f>IF(C8="Yes",235,0)</f>
        <v>0</v>
      </c>
      <c r="E8" s="207"/>
      <c r="F8" s="207"/>
      <c r="G8" s="207"/>
      <c r="H8" s="207"/>
      <c r="I8" s="207"/>
      <c r="J8" s="244"/>
      <c r="K8" s="207"/>
      <c r="L8" s="208"/>
    </row>
    <row r="9" spans="1:13">
      <c r="A9" s="211" t="s">
        <v>2</v>
      </c>
      <c r="B9" s="219">
        <v>39114</v>
      </c>
      <c r="C9" s="225" t="s">
        <v>7</v>
      </c>
      <c r="D9" s="212">
        <f>IF(C9="Yes",235,0)</f>
        <v>235</v>
      </c>
      <c r="E9" s="207"/>
      <c r="F9" s="207"/>
      <c r="G9" s="207"/>
      <c r="H9" s="207"/>
      <c r="I9" s="207"/>
      <c r="J9" s="244"/>
      <c r="K9" s="207"/>
      <c r="L9" s="208"/>
    </row>
    <row r="10" spans="1:13">
      <c r="A10" s="211" t="s">
        <v>648</v>
      </c>
      <c r="B10" s="220">
        <v>38770</v>
      </c>
      <c r="C10" s="58"/>
      <c r="D10" s="212">
        <f t="shared" ref="D10:D12" si="0">IF(C10="Yes",235,0)</f>
        <v>0</v>
      </c>
    </row>
    <row r="11" spans="1:13">
      <c r="A11" s="211" t="s">
        <v>649</v>
      </c>
      <c r="B11" s="220">
        <v>37353</v>
      </c>
      <c r="C11" s="58"/>
      <c r="D11" s="212">
        <f t="shared" si="0"/>
        <v>0</v>
      </c>
    </row>
    <row r="12" spans="1:13">
      <c r="A12" s="216" t="s">
        <v>650</v>
      </c>
      <c r="B12" s="220">
        <v>38566</v>
      </c>
      <c r="C12" s="58"/>
      <c r="D12" s="212">
        <f t="shared" si="0"/>
        <v>0</v>
      </c>
    </row>
    <row r="13" spans="1:13">
      <c r="C13" s="58"/>
    </row>
    <row r="14" spans="1:13">
      <c r="C14" s="58"/>
    </row>
    <row r="15" spans="1:13">
      <c r="C15" s="58"/>
    </row>
    <row r="16" spans="1:13">
      <c r="C16" s="58"/>
    </row>
    <row r="17" spans="3:3">
      <c r="C17" s="58"/>
    </row>
    <row r="18" spans="3:3">
      <c r="C18" s="58"/>
    </row>
    <row r="19" spans="3:3">
      <c r="C19" s="58"/>
    </row>
    <row r="20" spans="3:3">
      <c r="C20" s="58"/>
    </row>
    <row r="21" spans="3:3">
      <c r="C21" s="58"/>
    </row>
    <row r="22" spans="3:3">
      <c r="C22" s="58"/>
    </row>
    <row r="23" spans="3:3">
      <c r="C23" s="58"/>
    </row>
    <row r="24" spans="3:3">
      <c r="C24" s="58"/>
    </row>
    <row r="25" spans="3:3">
      <c r="C25" s="58"/>
    </row>
    <row r="26" spans="3:3">
      <c r="C26" s="58"/>
    </row>
    <row r="27" spans="3:3">
      <c r="C27" s="58"/>
    </row>
    <row r="28" spans="3:3">
      <c r="C28" s="58"/>
    </row>
    <row r="29" spans="3:3">
      <c r="C29" s="58"/>
    </row>
    <row r="30" spans="3:3">
      <c r="C30" s="58"/>
    </row>
  </sheetData>
  <mergeCells count="2">
    <mergeCell ref="J5:J9"/>
    <mergeCell ref="A2:D3"/>
  </mergeCells>
  <phoneticPr fontId="0" type="noConversion"/>
  <dataValidations count="1">
    <dataValidation type="list" allowBlank="1" showInputMessage="1" showErrorMessage="1" sqref="C6:C39">
      <formula1>$M$4:$M$5</formula1>
    </dataValidation>
  </dataValidations>
  <printOptions horizontalCentered="1"/>
  <pageMargins left="0.5" right="0.5" top="0.75" bottom="0.75" header="0.3" footer="0.3"/>
  <pageSetup scale="80" orientation="landscape" r:id="rId1"/>
  <headerFooter>
    <oddFooter>&amp;LBoni Mays
Fayetteville Technical Community College&amp;C&amp;P&amp;Rwww.maysstuff.com</oddFooter>
  </headerFooter>
</worksheet>
</file>

<file path=xl/worksheets/sheet4.xml><?xml version="1.0" encoding="utf-8"?>
<worksheet xmlns="http://schemas.openxmlformats.org/spreadsheetml/2006/main" xmlns:r="http://schemas.openxmlformats.org/officeDocument/2006/relationships">
  <dimension ref="A1:D11"/>
  <sheetViews>
    <sheetView showGridLines="0" topLeftCell="A6" zoomScale="120" zoomScaleNormal="120" workbookViewId="0">
      <selection activeCell="D8" sqref="D8"/>
    </sheetView>
  </sheetViews>
  <sheetFormatPr defaultRowHeight="15"/>
  <cols>
    <col min="1" max="3" width="19.5703125" style="226" customWidth="1"/>
    <col min="4" max="4" width="20.7109375" style="226" customWidth="1"/>
    <col min="5" max="8" width="9.140625" style="226"/>
    <col min="9" max="9" width="9.5703125" style="226" customWidth="1"/>
    <col min="10" max="16384" width="9.140625" style="226"/>
  </cols>
  <sheetData>
    <row r="1" spans="1:4" ht="19.5">
      <c r="A1" s="238" t="s">
        <v>656</v>
      </c>
      <c r="B1" s="213"/>
      <c r="C1" s="213"/>
      <c r="D1" s="213"/>
    </row>
    <row r="2" spans="1:4">
      <c r="A2" s="246" t="s">
        <v>20</v>
      </c>
      <c r="B2" s="245"/>
      <c r="C2" s="245"/>
      <c r="D2" s="245"/>
    </row>
    <row r="3" spans="1:4">
      <c r="A3" s="245"/>
      <c r="B3" s="245"/>
      <c r="C3" s="245"/>
      <c r="D3" s="245"/>
    </row>
    <row r="4" spans="1:4">
      <c r="A4" s="245"/>
      <c r="B4" s="245"/>
      <c r="C4" s="245"/>
      <c r="D4" s="245"/>
    </row>
    <row r="5" spans="1:4">
      <c r="A5" s="31"/>
      <c r="B5" s="31"/>
      <c r="C5" s="31"/>
      <c r="D5" s="31"/>
    </row>
    <row r="6" spans="1:4">
      <c r="A6" s="239">
        <f ca="1">TODAY()</f>
        <v>40037</v>
      </c>
    </row>
    <row r="7" spans="1:4" ht="15" customHeight="1">
      <c r="A7" s="215"/>
      <c r="B7" s="223" t="s">
        <v>655</v>
      </c>
      <c r="C7" s="240" t="s">
        <v>6</v>
      </c>
      <c r="D7" s="223" t="s">
        <v>657</v>
      </c>
    </row>
    <row r="8" spans="1:4">
      <c r="A8" s="226" t="s">
        <v>4</v>
      </c>
      <c r="B8" s="232">
        <v>39508</v>
      </c>
      <c r="C8" s="233">
        <f ca="1">($A$6-B8)/365.26</f>
        <v>1.4482834145540164</v>
      </c>
      <c r="D8" s="234">
        <f ca="1">IF(C8&gt;1,INT(C8)+4,0)</f>
        <v>5</v>
      </c>
    </row>
    <row r="9" spans="1:4">
      <c r="A9" s="230" t="s">
        <v>3</v>
      </c>
      <c r="B9" s="235">
        <v>38657</v>
      </c>
      <c r="C9" s="236">
        <f ca="1">($A$6-B9)/365.26</f>
        <v>3.7781306466626514</v>
      </c>
      <c r="D9" s="237">
        <f ca="1">IF(C9&gt;1,INT(C9)+4,0)</f>
        <v>7</v>
      </c>
    </row>
    <row r="10" spans="1:4">
      <c r="A10" s="226" t="s">
        <v>5</v>
      </c>
      <c r="B10" s="232">
        <v>37773</v>
      </c>
      <c r="C10" s="233">
        <f ca="1">($A$6-B10)/365.26</f>
        <v>6.1983244811914799</v>
      </c>
      <c r="D10" s="234">
        <f ca="1">IF(C10&gt;1,INT(C10)+4,0)</f>
        <v>10</v>
      </c>
    </row>
    <row r="11" spans="1:4">
      <c r="A11" s="230" t="s">
        <v>2</v>
      </c>
      <c r="B11" s="235">
        <v>39845</v>
      </c>
      <c r="C11" s="236">
        <f ca="1">($A$6-B11)/365.26</f>
        <v>0.52565295953567326</v>
      </c>
      <c r="D11" s="237">
        <f ca="1">IF(C11&gt;1,INT(C11)+4,0)</f>
        <v>0</v>
      </c>
    </row>
  </sheetData>
  <mergeCells count="1">
    <mergeCell ref="A2:D4"/>
  </mergeCells>
  <printOptions horizontalCentered="1"/>
  <pageMargins left="0.5" right="0.5" top="0.75" bottom="0.75" header="0.3" footer="0.3"/>
  <pageSetup scale="80" orientation="landscape" r:id="rId1"/>
  <headerFooter>
    <oddFooter>&amp;LBoni Mays
Fayetteville Technical Community College&amp;C&amp;P&amp;Rwww.maysstuff.com</oddFooter>
  </headerFooter>
</worksheet>
</file>

<file path=xl/worksheets/sheet5.xml><?xml version="1.0" encoding="utf-8"?>
<worksheet xmlns="http://schemas.openxmlformats.org/spreadsheetml/2006/main" xmlns:r="http://schemas.openxmlformats.org/officeDocument/2006/relationships">
  <dimension ref="A1:I14"/>
  <sheetViews>
    <sheetView showGridLines="0" topLeftCell="A4" workbookViewId="0">
      <selection activeCell="A6" sqref="A6:B14"/>
    </sheetView>
  </sheetViews>
  <sheetFormatPr defaultRowHeight="15"/>
  <cols>
    <col min="1" max="1" width="19.28515625" style="226" customWidth="1"/>
    <col min="2" max="2" width="13.7109375" style="226" customWidth="1"/>
    <col min="3" max="3" width="25.7109375" style="226" customWidth="1"/>
    <col min="4" max="4" width="13.7109375" style="226" customWidth="1"/>
    <col min="5" max="6" width="5.140625" style="226" customWidth="1"/>
    <col min="7" max="7" width="9.140625" style="226"/>
    <col min="8" max="8" width="25.28515625" style="226" customWidth="1"/>
    <col min="9" max="9" width="9.5703125" style="226" customWidth="1"/>
    <col min="10" max="16384" width="9.140625" style="226"/>
  </cols>
  <sheetData>
    <row r="1" spans="1:9" ht="19.5">
      <c r="A1" s="238" t="s">
        <v>658</v>
      </c>
      <c r="B1" s="213"/>
      <c r="C1" s="213"/>
      <c r="D1" s="213"/>
    </row>
    <row r="2" spans="1:9" ht="19.5">
      <c r="A2" s="243" t="s">
        <v>664</v>
      </c>
      <c r="B2" s="213"/>
      <c r="C2" s="213"/>
      <c r="D2" s="213"/>
    </row>
    <row r="3" spans="1:9" ht="19.5">
      <c r="A3" s="213"/>
      <c r="B3" s="213"/>
      <c r="C3" s="213"/>
      <c r="D3" s="213"/>
    </row>
    <row r="4" spans="1:9">
      <c r="A4" s="239">
        <f ca="1">TODAY()</f>
        <v>40037</v>
      </c>
      <c r="H4" s="242" t="s">
        <v>659</v>
      </c>
      <c r="I4" s="242">
        <v>0</v>
      </c>
    </row>
    <row r="5" spans="1:9" ht="15" customHeight="1">
      <c r="A5" s="215" t="s">
        <v>0</v>
      </c>
      <c r="B5" s="215" t="s">
        <v>1</v>
      </c>
      <c r="C5" s="215" t="s">
        <v>663</v>
      </c>
      <c r="D5" s="215" t="s">
        <v>9</v>
      </c>
      <c r="H5" s="242" t="s">
        <v>660</v>
      </c>
      <c r="I5" s="242">
        <v>1500</v>
      </c>
    </row>
    <row r="6" spans="1:9" ht="15" customHeight="1">
      <c r="A6" s="226" t="s">
        <v>4</v>
      </c>
      <c r="B6" s="232">
        <v>39508</v>
      </c>
      <c r="C6" s="228" t="s">
        <v>660</v>
      </c>
      <c r="D6" s="229">
        <f>IF(C6="B. Basic Bonus",$I$5,IF(C6="C. High perfpormance Bonus",$I$6,IF(C6="D. Super Bonus",$I$7,$I$4)))</f>
        <v>1500</v>
      </c>
      <c r="H6" s="242" t="s">
        <v>661</v>
      </c>
      <c r="I6" s="242">
        <v>2500</v>
      </c>
    </row>
    <row r="7" spans="1:9">
      <c r="A7" s="230" t="s">
        <v>3</v>
      </c>
      <c r="B7" s="235">
        <v>38657</v>
      </c>
      <c r="C7" s="231" t="s">
        <v>661</v>
      </c>
      <c r="D7" s="229">
        <f t="shared" ref="D7:D14" si="0">IF(C7="B. Basic Bonus",$I$5,IF(C7="C. High perfpormance Bonus",$I$6,IF(C7="D. Super Bonus",$I$7,$I$4)))</f>
        <v>0</v>
      </c>
      <c r="H7" s="242" t="s">
        <v>662</v>
      </c>
      <c r="I7" s="242">
        <v>4000</v>
      </c>
    </row>
    <row r="8" spans="1:9">
      <c r="A8" s="227" t="s">
        <v>5</v>
      </c>
      <c r="B8" s="232">
        <v>37773</v>
      </c>
      <c r="C8" s="241" t="s">
        <v>662</v>
      </c>
      <c r="D8" s="229">
        <f t="shared" si="0"/>
        <v>4000</v>
      </c>
    </row>
    <row r="9" spans="1:9">
      <c r="A9" s="230" t="s">
        <v>2</v>
      </c>
      <c r="B9" s="235">
        <v>39114</v>
      </c>
      <c r="C9" s="231" t="s">
        <v>659</v>
      </c>
      <c r="D9" s="229">
        <f t="shared" si="0"/>
        <v>0</v>
      </c>
    </row>
    <row r="10" spans="1:9">
      <c r="A10" s="217" t="s">
        <v>651</v>
      </c>
      <c r="B10" s="218">
        <v>39508</v>
      </c>
      <c r="C10" s="226" t="s">
        <v>660</v>
      </c>
      <c r="D10" s="229">
        <f t="shared" si="0"/>
        <v>1500</v>
      </c>
    </row>
    <row r="11" spans="1:9">
      <c r="A11" s="217" t="s">
        <v>652</v>
      </c>
      <c r="B11" s="219">
        <v>38657</v>
      </c>
      <c r="C11" s="226" t="s">
        <v>661</v>
      </c>
      <c r="D11" s="229">
        <f t="shared" si="0"/>
        <v>0</v>
      </c>
    </row>
    <row r="12" spans="1:9">
      <c r="A12" s="211" t="s">
        <v>648</v>
      </c>
      <c r="B12" s="220">
        <v>38770</v>
      </c>
      <c r="C12" s="226" t="s">
        <v>659</v>
      </c>
      <c r="D12" s="229">
        <f t="shared" si="0"/>
        <v>0</v>
      </c>
    </row>
    <row r="13" spans="1:9">
      <c r="A13" s="211" t="s">
        <v>649</v>
      </c>
      <c r="B13" s="220">
        <v>37353</v>
      </c>
      <c r="C13" s="226" t="s">
        <v>662</v>
      </c>
      <c r="D13" s="229">
        <f t="shared" si="0"/>
        <v>4000</v>
      </c>
    </row>
    <row r="14" spans="1:9">
      <c r="A14" s="216" t="s">
        <v>650</v>
      </c>
      <c r="B14" s="220">
        <v>38566</v>
      </c>
      <c r="C14" s="226" t="s">
        <v>659</v>
      </c>
      <c r="D14" s="229">
        <f t="shared" si="0"/>
        <v>0</v>
      </c>
    </row>
  </sheetData>
  <dataValidations count="1">
    <dataValidation type="list" allowBlank="1" showInputMessage="1" showErrorMessage="1" sqref="C6:C27">
      <formula1>$H$4:$H$7</formula1>
    </dataValidation>
  </dataValidations>
  <printOptions horizontalCentered="1"/>
  <pageMargins left="0.5" right="0.5" top="0.75" bottom="0.75" header="0.3" footer="0.3"/>
  <pageSetup scale="80" orientation="landscape" r:id="rId1"/>
  <headerFooter>
    <oddFooter>&amp;LBoni Mays
Fayetteville Technical Community College&amp;C&amp;P&amp;Rwww.maysstuff.com</oddFooter>
  </headerFooter>
</worksheet>
</file>

<file path=xl/worksheets/sheet6.xml><?xml version="1.0" encoding="utf-8"?>
<worksheet xmlns="http://schemas.openxmlformats.org/spreadsheetml/2006/main" xmlns:r="http://schemas.openxmlformats.org/officeDocument/2006/relationships">
  <dimension ref="A1:D15"/>
  <sheetViews>
    <sheetView showGridLines="0" topLeftCell="A5" zoomScale="120" zoomScaleNormal="120" workbookViewId="0">
      <selection activeCell="C22" sqref="C22"/>
    </sheetView>
  </sheetViews>
  <sheetFormatPr defaultRowHeight="15"/>
  <cols>
    <col min="1" max="4" width="13.7109375" style="226" customWidth="1"/>
    <col min="5" max="6" width="9.140625" style="226"/>
    <col min="7" max="7" width="9.5703125" style="226" customWidth="1"/>
    <col min="8" max="16384" width="9.140625" style="226"/>
  </cols>
  <sheetData>
    <row r="1" spans="1:4" ht="19.5">
      <c r="A1" s="213" t="s">
        <v>12</v>
      </c>
      <c r="B1" s="213"/>
      <c r="C1" s="213"/>
      <c r="D1" s="213"/>
    </row>
    <row r="2" spans="1:4">
      <c r="A2" s="247" t="s">
        <v>19</v>
      </c>
      <c r="B2" s="245"/>
      <c r="C2" s="245"/>
      <c r="D2" s="245"/>
    </row>
    <row r="3" spans="1:4">
      <c r="A3" s="245"/>
      <c r="B3" s="245"/>
      <c r="C3" s="245"/>
      <c r="D3" s="245"/>
    </row>
    <row r="4" spans="1:4" ht="19.5">
      <c r="A4" s="213"/>
      <c r="B4" s="213"/>
      <c r="C4" s="213"/>
      <c r="D4" s="213"/>
    </row>
    <row r="5" spans="1:4">
      <c r="A5" s="239">
        <f ca="1">TODAY()</f>
        <v>40037</v>
      </c>
    </row>
    <row r="6" spans="1:4" ht="15" customHeight="1">
      <c r="A6" s="215" t="s">
        <v>0</v>
      </c>
      <c r="B6" s="215" t="s">
        <v>1</v>
      </c>
      <c r="C6" s="215" t="s">
        <v>13</v>
      </c>
      <c r="D6" s="215" t="s">
        <v>18</v>
      </c>
    </row>
    <row r="7" spans="1:4" ht="15" customHeight="1">
      <c r="A7" s="226" t="s">
        <v>4</v>
      </c>
      <c r="B7" s="232">
        <v>39508</v>
      </c>
      <c r="C7" s="233" t="s">
        <v>14</v>
      </c>
      <c r="D7" s="229" t="str">
        <f>IF(OR(C7="A",C7="C"),"Tuesday","Thursday")</f>
        <v>Tuesday</v>
      </c>
    </row>
    <row r="8" spans="1:4">
      <c r="A8" s="230" t="s">
        <v>3</v>
      </c>
      <c r="B8" s="235">
        <v>38657</v>
      </c>
      <c r="C8" s="236" t="s">
        <v>15</v>
      </c>
      <c r="D8" s="229" t="str">
        <f t="shared" ref="D8:D15" si="0">IF(OR(C8="A",C8="C"),"Tuesday","Thursday")</f>
        <v>Thursday</v>
      </c>
    </row>
    <row r="9" spans="1:4" s="227" customFormat="1">
      <c r="A9" s="227" t="s">
        <v>5</v>
      </c>
      <c r="B9" s="232">
        <v>37773</v>
      </c>
      <c r="C9" s="233" t="s">
        <v>16</v>
      </c>
      <c r="D9" s="229" t="str">
        <f t="shared" si="0"/>
        <v>Tuesday</v>
      </c>
    </row>
    <row r="10" spans="1:4">
      <c r="A10" s="230" t="s">
        <v>2</v>
      </c>
      <c r="B10" s="235">
        <v>39114</v>
      </c>
      <c r="C10" s="236" t="s">
        <v>17</v>
      </c>
      <c r="D10" s="229" t="str">
        <f t="shared" si="0"/>
        <v>Thursday</v>
      </c>
    </row>
    <row r="11" spans="1:4">
      <c r="A11" s="217" t="s">
        <v>651</v>
      </c>
      <c r="B11" s="218">
        <v>39508</v>
      </c>
      <c r="C11" s="233" t="s">
        <v>14</v>
      </c>
      <c r="D11" s="229" t="str">
        <f t="shared" si="0"/>
        <v>Tuesday</v>
      </c>
    </row>
    <row r="12" spans="1:4">
      <c r="A12" s="217" t="s">
        <v>652</v>
      </c>
      <c r="B12" s="219">
        <v>38657</v>
      </c>
      <c r="C12" s="236" t="s">
        <v>15</v>
      </c>
      <c r="D12" s="229" t="str">
        <f t="shared" si="0"/>
        <v>Thursday</v>
      </c>
    </row>
    <row r="13" spans="1:4">
      <c r="A13" s="211" t="s">
        <v>648</v>
      </c>
      <c r="B13" s="220">
        <v>38770</v>
      </c>
      <c r="C13" s="233" t="s">
        <v>16</v>
      </c>
      <c r="D13" s="229" t="str">
        <f t="shared" si="0"/>
        <v>Tuesday</v>
      </c>
    </row>
    <row r="14" spans="1:4">
      <c r="A14" s="211" t="s">
        <v>649</v>
      </c>
      <c r="B14" s="220">
        <v>37353</v>
      </c>
      <c r="C14" s="236" t="s">
        <v>17</v>
      </c>
      <c r="D14" s="229" t="str">
        <f t="shared" si="0"/>
        <v>Thursday</v>
      </c>
    </row>
    <row r="15" spans="1:4">
      <c r="A15" s="216" t="s">
        <v>650</v>
      </c>
      <c r="B15" s="220">
        <v>38566</v>
      </c>
      <c r="C15" s="233" t="s">
        <v>14</v>
      </c>
      <c r="D15" s="229" t="str">
        <f t="shared" si="0"/>
        <v>Tuesday</v>
      </c>
    </row>
  </sheetData>
  <mergeCells count="1">
    <mergeCell ref="A2:D3"/>
  </mergeCells>
  <printOptions horizontalCentered="1"/>
  <pageMargins left="0.5" right="0.5" top="0.75" bottom="0.75" header="0.3" footer="0.3"/>
  <pageSetup scale="80" orientation="landscape" r:id="rId1"/>
  <headerFooter>
    <oddFooter>&amp;LBoni Mays
Fayetteville Technical Community College&amp;C&amp;P&amp;Rwww.maysstuff.com</oddFooter>
  </headerFooter>
</worksheet>
</file>

<file path=xl/worksheets/sheet7.xml><?xml version="1.0" encoding="utf-8"?>
<worksheet xmlns="http://schemas.openxmlformats.org/spreadsheetml/2006/main" xmlns:r="http://schemas.openxmlformats.org/officeDocument/2006/relationships">
  <dimension ref="A1:L61"/>
  <sheetViews>
    <sheetView showGridLines="0" zoomScale="90" zoomScaleNormal="90" workbookViewId="0">
      <selection activeCell="C28" sqref="C28"/>
    </sheetView>
  </sheetViews>
  <sheetFormatPr defaultRowHeight="15"/>
  <cols>
    <col min="1" max="1" width="2.42578125" style="199" customWidth="1"/>
    <col min="2" max="2" width="19.42578125" style="140" customWidth="1"/>
    <col min="3" max="3" width="21.42578125" style="140" customWidth="1"/>
    <col min="4" max="12" width="11.7109375" style="140" customWidth="1"/>
    <col min="13" max="16384" width="9.140625" style="140"/>
  </cols>
  <sheetData>
    <row r="1" spans="1:12" ht="15" customHeight="1">
      <c r="A1" s="198"/>
    </row>
    <row r="2" spans="1:12" ht="15" customHeight="1">
      <c r="A2" s="198"/>
      <c r="D2" s="127" t="s">
        <v>634</v>
      </c>
      <c r="E2" s="174"/>
      <c r="F2" s="174"/>
      <c r="G2" s="174"/>
      <c r="H2" s="174"/>
      <c r="I2" s="174"/>
      <c r="J2" s="174"/>
      <c r="K2" s="173"/>
    </row>
    <row r="3" spans="1:12" ht="15" customHeight="1">
      <c r="A3" s="198"/>
      <c r="D3" s="248" t="s">
        <v>643</v>
      </c>
      <c r="E3" s="249"/>
      <c r="F3" s="248" t="s">
        <v>644</v>
      </c>
      <c r="G3" s="249"/>
      <c r="H3" s="248" t="s">
        <v>645</v>
      </c>
      <c r="I3" s="249"/>
      <c r="J3" s="248" t="s">
        <v>646</v>
      </c>
      <c r="K3" s="249"/>
      <c r="L3" s="187" t="s">
        <v>633</v>
      </c>
    </row>
    <row r="4" spans="1:12" ht="15" customHeight="1">
      <c r="A4" s="198"/>
      <c r="D4" s="187" t="s">
        <v>635</v>
      </c>
      <c r="E4" s="187" t="s">
        <v>636</v>
      </c>
      <c r="F4" s="187" t="s">
        <v>635</v>
      </c>
      <c r="G4" s="187" t="s">
        <v>636</v>
      </c>
      <c r="H4" s="187" t="s">
        <v>635</v>
      </c>
      <c r="I4" s="187" t="s">
        <v>636</v>
      </c>
      <c r="J4" s="187" t="s">
        <v>635</v>
      </c>
      <c r="K4" s="187" t="s">
        <v>636</v>
      </c>
      <c r="L4" s="187"/>
    </row>
    <row r="5" spans="1:12" ht="15" customHeight="1">
      <c r="D5" s="189">
        <v>0</v>
      </c>
      <c r="E5" s="189">
        <v>8350</v>
      </c>
      <c r="F5" s="190">
        <v>0</v>
      </c>
      <c r="G5" s="189">
        <v>16700</v>
      </c>
      <c r="H5" s="189">
        <v>0</v>
      </c>
      <c r="I5" s="189">
        <v>8350</v>
      </c>
      <c r="J5" s="189">
        <v>0</v>
      </c>
      <c r="K5" s="189">
        <v>11950</v>
      </c>
      <c r="L5" s="188">
        <v>0.1</v>
      </c>
    </row>
    <row r="6" spans="1:12" ht="15" customHeight="1">
      <c r="A6" s="198"/>
      <c r="D6" s="189">
        <v>8351</v>
      </c>
      <c r="E6" s="189">
        <v>33950</v>
      </c>
      <c r="F6" s="189">
        <v>16701</v>
      </c>
      <c r="G6" s="189">
        <v>67900</v>
      </c>
      <c r="H6" s="189">
        <v>8351</v>
      </c>
      <c r="I6" s="189">
        <v>33950</v>
      </c>
      <c r="J6" s="189">
        <v>11951</v>
      </c>
      <c r="K6" s="189">
        <v>45500</v>
      </c>
      <c r="L6" s="188">
        <v>0.15</v>
      </c>
    </row>
    <row r="7" spans="1:12" ht="15" customHeight="1">
      <c r="A7" s="198"/>
      <c r="D7" s="189">
        <v>33951</v>
      </c>
      <c r="E7" s="189">
        <v>82250</v>
      </c>
      <c r="F7" s="189">
        <v>67901</v>
      </c>
      <c r="G7" s="189">
        <v>137050</v>
      </c>
      <c r="H7" s="189">
        <v>33951</v>
      </c>
      <c r="I7" s="189">
        <v>68525</v>
      </c>
      <c r="J7" s="189">
        <v>45501</v>
      </c>
      <c r="K7" s="189">
        <v>117450</v>
      </c>
      <c r="L7" s="188">
        <v>0.25</v>
      </c>
    </row>
    <row r="8" spans="1:12" ht="15" customHeight="1">
      <c r="A8" s="198"/>
      <c r="D8" s="189">
        <v>82251</v>
      </c>
      <c r="E8" s="189">
        <v>171550</v>
      </c>
      <c r="F8" s="189">
        <v>137051</v>
      </c>
      <c r="G8" s="189">
        <v>208850</v>
      </c>
      <c r="H8" s="189">
        <v>68526</v>
      </c>
      <c r="I8" s="189">
        <v>104425</v>
      </c>
      <c r="J8" s="189">
        <v>117451</v>
      </c>
      <c r="K8" s="189">
        <v>190200</v>
      </c>
      <c r="L8" s="188">
        <v>0.28000000000000003</v>
      </c>
    </row>
    <row r="9" spans="1:12" ht="15" customHeight="1">
      <c r="A9" s="198"/>
      <c r="D9" s="189">
        <v>171551</v>
      </c>
      <c r="E9" s="189">
        <v>372950</v>
      </c>
      <c r="F9" s="189">
        <v>208851</v>
      </c>
      <c r="G9" s="189">
        <v>372950</v>
      </c>
      <c r="H9" s="189">
        <v>104426</v>
      </c>
      <c r="I9" s="189">
        <v>186475</v>
      </c>
      <c r="J9" s="189">
        <v>190201</v>
      </c>
      <c r="K9" s="189">
        <v>372950</v>
      </c>
      <c r="L9" s="188">
        <v>0.33</v>
      </c>
    </row>
    <row r="10" spans="1:12" ht="15" customHeight="1">
      <c r="D10" s="189">
        <v>372951</v>
      </c>
      <c r="E10" s="189"/>
      <c r="F10" s="189">
        <v>372951</v>
      </c>
      <c r="G10" s="189"/>
      <c r="H10" s="189">
        <v>186476</v>
      </c>
      <c r="I10" s="189"/>
      <c r="J10" s="189">
        <v>372951</v>
      </c>
      <c r="K10" s="189"/>
      <c r="L10" s="188">
        <v>0.35</v>
      </c>
    </row>
    <row r="11" spans="1:12" ht="15" customHeight="1">
      <c r="A11" s="198"/>
    </row>
    <row r="12" spans="1:12" ht="15" customHeight="1">
      <c r="B12" s="191" t="s">
        <v>637</v>
      </c>
      <c r="C12" s="192">
        <v>124325</v>
      </c>
      <c r="D12" s="186"/>
      <c r="E12" s="186"/>
      <c r="F12" s="186"/>
      <c r="G12" s="186"/>
      <c r="H12" s="186"/>
      <c r="I12" s="186"/>
      <c r="J12" s="186"/>
    </row>
    <row r="13" spans="1:12" ht="15" customHeight="1">
      <c r="A13" s="198"/>
      <c r="B13" t="s">
        <v>641</v>
      </c>
      <c r="C13" s="205" t="s">
        <v>643</v>
      </c>
      <c r="G13" s="186"/>
      <c r="H13" s="186"/>
      <c r="I13" s="186"/>
      <c r="J13" s="186"/>
      <c r="K13" s="186"/>
    </row>
    <row r="14" spans="1:12" ht="15" customHeight="1">
      <c r="A14" s="198"/>
    </row>
    <row r="15" spans="1:12">
      <c r="A15" s="198"/>
      <c r="E15" s="206" t="s">
        <v>643</v>
      </c>
      <c r="F15" s="204"/>
      <c r="G15" s="206" t="s">
        <v>644</v>
      </c>
      <c r="H15" s="204"/>
      <c r="I15" s="206" t="s">
        <v>645</v>
      </c>
      <c r="J15" s="204"/>
      <c r="K15" s="206" t="s">
        <v>647</v>
      </c>
    </row>
    <row r="16" spans="1:12">
      <c r="A16" s="198"/>
      <c r="B16" s="193" t="s">
        <v>638</v>
      </c>
      <c r="C16" s="189">
        <f>IF($C$13="A. Single",E16,IF($C$13="B. Married/Widower",G16,IF($C$13="C. Married - Sep",I16,K16)))</f>
        <v>23030.280000000002</v>
      </c>
      <c r="D16" s="186"/>
      <c r="E16" s="202">
        <f>VLOOKUP($C$12,$D$3:$L$10,1)*E17</f>
        <v>23030.280000000002</v>
      </c>
      <c r="F16" s="195"/>
      <c r="G16" s="202">
        <f>VLOOKUP($C$12,$F$3:$L$10,1)*G17</f>
        <v>16975.25</v>
      </c>
      <c r="H16" s="186"/>
      <c r="I16" s="202">
        <f>VLOOKUP($C$12,$H$3:$L$10,1)*I17</f>
        <v>34460.58</v>
      </c>
      <c r="J16" s="186"/>
      <c r="K16" s="202">
        <f>VLOOKUP($C$12,$J$3:$L$10,1)*K17</f>
        <v>32886.280000000006</v>
      </c>
    </row>
    <row r="17" spans="1:11">
      <c r="A17" s="198"/>
      <c r="B17" s="37" t="s">
        <v>640</v>
      </c>
      <c r="C17" s="201">
        <f>IF($C$13="A. Single",E17,IF($C$13="B. Married/Widower",G17,IF($C$13="C. Married - Sep",I17,K17)))</f>
        <v>0.28000000000000003</v>
      </c>
      <c r="D17" s="186"/>
      <c r="E17" s="203">
        <f>VLOOKUP($C$12,$D$3:$L$12,9)</f>
        <v>0.28000000000000003</v>
      </c>
      <c r="F17" s="194"/>
      <c r="G17" s="203">
        <f>VLOOKUP($C$12,$F$3:$L$10,7)</f>
        <v>0.25</v>
      </c>
      <c r="H17" s="186"/>
      <c r="I17" s="203">
        <f>VLOOKUP($C$12,$H$3:$L$10,5)</f>
        <v>0.33</v>
      </c>
      <c r="J17" s="186"/>
      <c r="K17" s="203">
        <f>VLOOKUP($C$12,$J$3:$L$10,3)</f>
        <v>0.28000000000000003</v>
      </c>
    </row>
    <row r="18" spans="1:11">
      <c r="A18" s="198"/>
      <c r="B18" s="193" t="s">
        <v>639</v>
      </c>
      <c r="C18" s="189">
        <f>IF($C$13="A. Single",E18,IF($C$13="B. Married/Widower",G18,IF($C$13="C. Married - Sep",I18,K18)))</f>
        <v>82251</v>
      </c>
      <c r="E18" s="202">
        <f>VLOOKUP($C$12,$D$3:$L$12,1)</f>
        <v>82251</v>
      </c>
      <c r="F18" s="195"/>
      <c r="G18" s="202">
        <f>VLOOKUP($C$12,$F$3:$L$10,1)</f>
        <v>67901</v>
      </c>
      <c r="I18" s="202">
        <f>VLOOKUP($C$12,$H$3:$L$10,1)</f>
        <v>104426</v>
      </c>
      <c r="K18" s="202">
        <f>VLOOKUP($C$12,$D$3:$L$12,7)</f>
        <v>117451</v>
      </c>
    </row>
    <row r="19" spans="1:11">
      <c r="A19" s="198"/>
    </row>
    <row r="20" spans="1:11">
      <c r="A20" s="198"/>
      <c r="B20" t="s">
        <v>642</v>
      </c>
      <c r="C20" s="202">
        <f>C16+(($C$12-C18)*C17)</f>
        <v>34811</v>
      </c>
      <c r="E20" s="202">
        <f>E16+(($C$12-E18)*E17)</f>
        <v>34811</v>
      </c>
      <c r="G20" s="202">
        <f>G16+(($C$12-G18)*G17)</f>
        <v>31081.25</v>
      </c>
      <c r="I20" s="202">
        <f>I16+(($C$12-I18)*I17)</f>
        <v>41027.25</v>
      </c>
      <c r="K20" s="202">
        <f>K16+(($C$12-K18)*K17)</f>
        <v>34811.000000000007</v>
      </c>
    </row>
    <row r="21" spans="1:11">
      <c r="A21" s="198"/>
    </row>
    <row r="22" spans="1:11">
      <c r="A22" s="198"/>
      <c r="C22" s="196"/>
      <c r="E22" s="196"/>
      <c r="G22" s="196"/>
      <c r="I22" s="196"/>
      <c r="K22" s="196"/>
    </row>
    <row r="23" spans="1:11">
      <c r="A23" s="198"/>
      <c r="C23" s="196"/>
      <c r="E23" s="196"/>
      <c r="G23" s="196"/>
      <c r="I23" s="196"/>
      <c r="K23" s="196"/>
    </row>
    <row r="24" spans="1:11">
      <c r="A24" s="198"/>
      <c r="C24" s="197"/>
      <c r="E24" s="197"/>
      <c r="G24" s="197"/>
      <c r="I24" s="197"/>
      <c r="K24" s="197"/>
    </row>
    <row r="25" spans="1:11">
      <c r="A25" s="198"/>
      <c r="C25" s="197"/>
      <c r="E25" s="197"/>
      <c r="G25" s="197"/>
      <c r="I25" s="197"/>
      <c r="J25" s="197"/>
      <c r="K25" s="197"/>
    </row>
    <row r="26" spans="1:11">
      <c r="A26" s="198"/>
    </row>
    <row r="27" spans="1:11">
      <c r="A27" s="198"/>
    </row>
    <row r="28" spans="1:11">
      <c r="A28" s="198"/>
    </row>
    <row r="29" spans="1:11">
      <c r="A29" s="198"/>
    </row>
    <row r="30" spans="1:11">
      <c r="A30" s="198"/>
    </row>
    <row r="53" spans="1:1" s="174" customFormat="1">
      <c r="A53" s="200"/>
    </row>
    <row r="56" spans="1:1" ht="15.75" customHeight="1"/>
    <row r="57" spans="1:1" ht="15.75" customHeight="1"/>
    <row r="58" spans="1:1" ht="15.75" customHeight="1"/>
    <row r="59" spans="1:1" ht="15.75" customHeight="1"/>
    <row r="60" spans="1:1" ht="15.75" customHeight="1"/>
    <row r="61" spans="1:1" ht="15.75" customHeight="1"/>
  </sheetData>
  <mergeCells count="4">
    <mergeCell ref="D3:E3"/>
    <mergeCell ref="F3:G3"/>
    <mergeCell ref="H3:I3"/>
    <mergeCell ref="J3:K3"/>
  </mergeCells>
  <dataValidations count="1">
    <dataValidation type="list" allowBlank="1" showInputMessage="1" showErrorMessage="1" sqref="C13">
      <formula1>$D$3:$K$3</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sheetPr codeName="Sheet2"/>
  <dimension ref="A1:D40"/>
  <sheetViews>
    <sheetView zoomScale="70" zoomScaleNormal="70" workbookViewId="0">
      <selection activeCell="D5" sqref="D5"/>
    </sheetView>
  </sheetViews>
  <sheetFormatPr defaultRowHeight="15"/>
  <cols>
    <col min="1" max="1" width="26.42578125" customWidth="1"/>
    <col min="2" max="2" width="21.7109375" customWidth="1"/>
    <col min="3" max="3" width="4.7109375" customWidth="1"/>
    <col min="4" max="4" width="106.140625" customWidth="1"/>
    <col min="5" max="9" width="9" customWidth="1"/>
  </cols>
  <sheetData>
    <row r="1" spans="1:4" ht="22.5">
      <c r="A1" s="6" t="s">
        <v>21</v>
      </c>
    </row>
    <row r="2" spans="1:4">
      <c r="A2" t="s">
        <v>23</v>
      </c>
    </row>
    <row r="3" spans="1:4">
      <c r="A3" t="s">
        <v>355</v>
      </c>
    </row>
    <row r="4" spans="1:4">
      <c r="A4" t="s">
        <v>428</v>
      </c>
    </row>
    <row r="5" spans="1:4">
      <c r="A5" t="s">
        <v>429</v>
      </c>
    </row>
    <row r="7" spans="1:4" ht="22.5">
      <c r="A7" s="6" t="s">
        <v>22</v>
      </c>
    </row>
    <row r="9" spans="1:4" ht="20.25" thickBot="1">
      <c r="A9" s="5" t="s">
        <v>34</v>
      </c>
      <c r="B9" s="5"/>
      <c r="D9" s="5" t="s">
        <v>382</v>
      </c>
    </row>
    <row r="10" spans="1:4" ht="15.75" thickTop="1">
      <c r="A10" s="13" t="s">
        <v>24</v>
      </c>
      <c r="B10" s="14">
        <f>-PMT(B12/B14,B15,B11)</f>
        <v>1580.1700587324151</v>
      </c>
      <c r="D10" t="s">
        <v>377</v>
      </c>
    </row>
    <row r="11" spans="1:4">
      <c r="A11" s="8" t="s">
        <v>25</v>
      </c>
      <c r="B11" s="9">
        <v>250000</v>
      </c>
      <c r="D11" t="s">
        <v>430</v>
      </c>
    </row>
    <row r="12" spans="1:4">
      <c r="A12" t="s">
        <v>26</v>
      </c>
      <c r="B12" s="10">
        <v>6.5000000000000002E-2</v>
      </c>
      <c r="D12" t="s">
        <v>431</v>
      </c>
    </row>
    <row r="13" spans="1:4">
      <c r="A13" s="8" t="s">
        <v>27</v>
      </c>
      <c r="B13" s="11">
        <v>30</v>
      </c>
      <c r="D13" t="s">
        <v>432</v>
      </c>
    </row>
    <row r="14" spans="1:4">
      <c r="A14" t="s">
        <v>28</v>
      </c>
      <c r="B14" s="12">
        <v>12</v>
      </c>
      <c r="D14" t="s">
        <v>378</v>
      </c>
    </row>
    <row r="15" spans="1:4">
      <c r="A15" s="8" t="s">
        <v>29</v>
      </c>
      <c r="B15" s="11">
        <f>B13*B14</f>
        <v>360</v>
      </c>
      <c r="D15" t="s">
        <v>42</v>
      </c>
    </row>
    <row r="17" spans="1:4" ht="20.25" thickBot="1">
      <c r="A17" s="5" t="s">
        <v>33</v>
      </c>
      <c r="B17" s="5"/>
      <c r="D17" s="5" t="s">
        <v>383</v>
      </c>
    </row>
    <row r="18" spans="1:4" ht="15.75" thickTop="1">
      <c r="A18" s="13" t="s">
        <v>24</v>
      </c>
      <c r="B18" s="14">
        <f>-PMT(B20/B22,B23,B19,B24)</f>
        <v>1162.941919697422</v>
      </c>
      <c r="D18" t="s">
        <v>379</v>
      </c>
    </row>
    <row r="19" spans="1:4">
      <c r="A19" s="8" t="s">
        <v>25</v>
      </c>
      <c r="B19" s="9">
        <v>200000</v>
      </c>
      <c r="D19" t="s">
        <v>433</v>
      </c>
    </row>
    <row r="20" spans="1:4">
      <c r="A20" t="s">
        <v>26</v>
      </c>
      <c r="B20" s="10">
        <v>5.5E-2</v>
      </c>
      <c r="D20" t="s">
        <v>434</v>
      </c>
    </row>
    <row r="21" spans="1:4">
      <c r="A21" s="8" t="s">
        <v>27</v>
      </c>
      <c r="B21" s="11">
        <v>30</v>
      </c>
    </row>
    <row r="22" spans="1:4">
      <c r="A22" t="s">
        <v>28</v>
      </c>
      <c r="B22" s="12">
        <v>12</v>
      </c>
    </row>
    <row r="23" spans="1:4">
      <c r="A23" s="8" t="s">
        <v>29</v>
      </c>
      <c r="B23" s="11">
        <f>B21*B22</f>
        <v>360</v>
      </c>
    </row>
    <row r="24" spans="1:4">
      <c r="A24" s="16" t="s">
        <v>30</v>
      </c>
      <c r="B24" s="15">
        <v>25000</v>
      </c>
    </row>
    <row r="26" spans="1:4" ht="20.25" thickBot="1">
      <c r="A26" s="5" t="s">
        <v>31</v>
      </c>
      <c r="B26" s="5"/>
      <c r="D26" s="5" t="s">
        <v>384</v>
      </c>
    </row>
    <row r="27" spans="1:4" ht="15.75" thickTop="1">
      <c r="A27" s="13" t="s">
        <v>24</v>
      </c>
      <c r="B27" s="14">
        <f>-PMT(B29/B31,B32,0,B28)</f>
        <v>357.8037234919554</v>
      </c>
      <c r="D27" s="73" t="s">
        <v>380</v>
      </c>
    </row>
    <row r="28" spans="1:4">
      <c r="A28" s="8" t="s">
        <v>32</v>
      </c>
      <c r="B28" s="9">
        <v>50000</v>
      </c>
      <c r="D28" t="s">
        <v>36</v>
      </c>
    </row>
    <row r="29" spans="1:4">
      <c r="A29" t="s">
        <v>26</v>
      </c>
      <c r="B29" s="10">
        <v>0.03</v>
      </c>
      <c r="D29" s="17" t="s">
        <v>37</v>
      </c>
    </row>
    <row r="30" spans="1:4">
      <c r="A30" s="8" t="s">
        <v>27</v>
      </c>
      <c r="B30" s="11">
        <v>10</v>
      </c>
      <c r="D30" s="7"/>
    </row>
    <row r="31" spans="1:4">
      <c r="A31" t="s">
        <v>28</v>
      </c>
      <c r="B31" s="12">
        <v>12</v>
      </c>
      <c r="D31" s="7"/>
    </row>
    <row r="32" spans="1:4">
      <c r="A32" s="8" t="s">
        <v>29</v>
      </c>
      <c r="B32" s="11">
        <f>B30*B31</f>
        <v>120</v>
      </c>
      <c r="D32" s="7"/>
    </row>
    <row r="34" spans="1:4" ht="20.25" thickBot="1">
      <c r="A34" s="5" t="s">
        <v>35</v>
      </c>
      <c r="B34" s="5"/>
      <c r="D34" s="5" t="s">
        <v>385</v>
      </c>
    </row>
    <row r="35" spans="1:4" ht="15.75" thickTop="1">
      <c r="A35" s="13" t="s">
        <v>24</v>
      </c>
      <c r="B35" s="14">
        <f>-PMT(((1+(B37/2))^2)^(1/12)-1,B40,B36)</f>
        <v>1566.0060791492399</v>
      </c>
      <c r="D35" t="s">
        <v>381</v>
      </c>
    </row>
    <row r="36" spans="1:4">
      <c r="A36" s="8" t="s">
        <v>25</v>
      </c>
      <c r="B36" s="9">
        <v>250000</v>
      </c>
      <c r="D36" t="s">
        <v>39</v>
      </c>
    </row>
    <row r="37" spans="1:4" ht="15" customHeight="1">
      <c r="A37" t="s">
        <v>26</v>
      </c>
      <c r="B37" s="10">
        <v>6.5000000000000002E-2</v>
      </c>
      <c r="D37" s="17" t="s">
        <v>40</v>
      </c>
    </row>
    <row r="38" spans="1:4">
      <c r="A38" s="8" t="s">
        <v>27</v>
      </c>
      <c r="B38" s="11">
        <v>30</v>
      </c>
      <c r="D38" s="17" t="s">
        <v>38</v>
      </c>
    </row>
    <row r="39" spans="1:4">
      <c r="A39" t="s">
        <v>28</v>
      </c>
      <c r="B39" s="12">
        <v>12</v>
      </c>
      <c r="D39" s="17" t="s">
        <v>41</v>
      </c>
    </row>
    <row r="40" spans="1:4">
      <c r="A40" s="8" t="s">
        <v>29</v>
      </c>
      <c r="B40" s="11">
        <f>B38*B39</f>
        <v>360</v>
      </c>
      <c r="D40" s="7"/>
    </row>
  </sheetData>
  <phoneticPr fontId="0" type="noConversion"/>
  <printOptions horizontalCentered="1"/>
  <pageMargins left="0.5" right="0.5" top="0.75" bottom="0.75" header="0.3" footer="0.3"/>
  <pageSetup scale="80" orientation="landscape" r:id="rId1"/>
  <headerFooter>
    <oddFooter>&amp;LBoni Mays
Fayetteville Technical Community College&amp;C&amp;P&amp;Rwww.maysstuff.com</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F44"/>
  <sheetViews>
    <sheetView workbookViewId="0"/>
  </sheetViews>
  <sheetFormatPr defaultRowHeight="15"/>
  <cols>
    <col min="1" max="1" width="17" customWidth="1"/>
    <col min="2" max="2" width="13.7109375" customWidth="1"/>
    <col min="3" max="3" width="11.140625" customWidth="1"/>
    <col min="4" max="4" width="49.5703125" customWidth="1"/>
    <col min="5" max="5" width="24.42578125" customWidth="1"/>
    <col min="6" max="6" width="41.7109375" customWidth="1"/>
  </cols>
  <sheetData>
    <row r="1" spans="1:6" ht="22.5">
      <c r="A1" s="6" t="s">
        <v>43</v>
      </c>
    </row>
    <row r="2" spans="1:6">
      <c r="A2" t="s">
        <v>426</v>
      </c>
    </row>
    <row r="3" spans="1:6">
      <c r="A3" t="s">
        <v>427</v>
      </c>
    </row>
    <row r="4" spans="1:6" s="102" customFormat="1" ht="11.25"/>
    <row r="5" spans="1:6" ht="18" thickBot="1">
      <c r="A5" s="18" t="s">
        <v>44</v>
      </c>
      <c r="B5" s="18"/>
      <c r="C5" s="18"/>
      <c r="D5" s="18"/>
      <c r="E5" s="27" t="s">
        <v>96</v>
      </c>
      <c r="F5" s="18"/>
    </row>
    <row r="6" spans="1:6" ht="15.75" thickTop="1">
      <c r="A6" s="3" t="s">
        <v>45</v>
      </c>
      <c r="B6" s="3"/>
      <c r="C6" s="3"/>
      <c r="D6" s="3"/>
      <c r="E6" s="3"/>
      <c r="F6" s="3"/>
    </row>
    <row r="7" spans="1:6">
      <c r="A7" s="1">
        <f ca="1">TODAY()</f>
        <v>40037</v>
      </c>
      <c r="B7" s="1">
        <v>39448</v>
      </c>
      <c r="C7">
        <f ca="1">A7-B7</f>
        <v>589</v>
      </c>
      <c r="D7" s="19" t="s">
        <v>48</v>
      </c>
      <c r="E7" s="2" t="s">
        <v>94</v>
      </c>
    </row>
    <row r="8" spans="1:6" s="102" customFormat="1" ht="11.25"/>
    <row r="9" spans="1:6">
      <c r="A9" s="3" t="s">
        <v>46</v>
      </c>
      <c r="B9" s="3"/>
      <c r="C9" s="3"/>
      <c r="D9" s="3"/>
      <c r="E9" s="3"/>
      <c r="F9" s="3"/>
    </row>
    <row r="10" spans="1:6">
      <c r="A10" s="1">
        <f ca="1">TODAY()</f>
        <v>40037</v>
      </c>
      <c r="B10">
        <v>90</v>
      </c>
      <c r="C10" s="1">
        <f ca="1">A10+B10</f>
        <v>40127</v>
      </c>
      <c r="D10" s="19" t="s">
        <v>47</v>
      </c>
      <c r="E10" s="2" t="s">
        <v>95</v>
      </c>
    </row>
    <row r="11" spans="1:6" s="102" customFormat="1" ht="11.25"/>
    <row r="12" spans="1:6" ht="18" thickBot="1">
      <c r="A12" s="21" t="s">
        <v>43</v>
      </c>
      <c r="B12" s="18"/>
      <c r="C12" s="21"/>
      <c r="D12" s="22"/>
      <c r="E12" s="18" t="s">
        <v>97</v>
      </c>
      <c r="F12" s="18" t="s">
        <v>49</v>
      </c>
    </row>
    <row r="13" spans="1:6" ht="15.75" thickTop="1">
      <c r="A13" s="3" t="s">
        <v>50</v>
      </c>
      <c r="B13" s="3" t="s">
        <v>51</v>
      </c>
      <c r="C13" s="3"/>
      <c r="D13" s="3"/>
      <c r="E13" s="8" t="s">
        <v>97</v>
      </c>
      <c r="F13" s="3"/>
    </row>
    <row r="14" spans="1:6">
      <c r="A14" s="1">
        <f ca="1">TODAY()</f>
        <v>40037</v>
      </c>
      <c r="B14">
        <v>3</v>
      </c>
      <c r="C14" s="1">
        <f ca="1">EDATE(A14,B14)</f>
        <v>40129</v>
      </c>
      <c r="D14" s="19" t="s">
        <v>350</v>
      </c>
      <c r="E14" s="2" t="s">
        <v>86</v>
      </c>
      <c r="F14" t="s">
        <v>351</v>
      </c>
    </row>
    <row r="15" spans="1:6" s="102" customFormat="1" ht="11.25"/>
    <row r="16" spans="1:6">
      <c r="A16" s="3" t="s">
        <v>52</v>
      </c>
      <c r="B16" s="3" t="s">
        <v>53</v>
      </c>
      <c r="C16" s="3"/>
      <c r="D16" s="20"/>
      <c r="E16" s="8"/>
      <c r="F16" s="3"/>
    </row>
    <row r="17" spans="1:6">
      <c r="A17" s="1">
        <f ca="1">TODAY()</f>
        <v>40037</v>
      </c>
      <c r="B17">
        <v>0</v>
      </c>
      <c r="C17" s="1">
        <f ca="1">EOMONTH(A17,B17)</f>
        <v>40056</v>
      </c>
      <c r="D17" s="19" t="s">
        <v>54</v>
      </c>
      <c r="E17" s="37" t="s">
        <v>87</v>
      </c>
      <c r="F17" t="s">
        <v>352</v>
      </c>
    </row>
    <row r="18" spans="1:6">
      <c r="A18" s="1">
        <f ca="1">TODAY()</f>
        <v>40037</v>
      </c>
      <c r="B18">
        <v>1</v>
      </c>
      <c r="C18" s="1">
        <f ca="1">EOMONTH(A18,B18)</f>
        <v>40086</v>
      </c>
      <c r="D18" s="19" t="s">
        <v>55</v>
      </c>
      <c r="E18" s="37" t="s">
        <v>88</v>
      </c>
    </row>
    <row r="19" spans="1:6">
      <c r="A19" s="1">
        <f ca="1">TODAY()</f>
        <v>40037</v>
      </c>
      <c r="B19">
        <v>3</v>
      </c>
      <c r="C19" s="1">
        <f ca="1">EOMONTH(A19,B19)</f>
        <v>40147</v>
      </c>
      <c r="D19" s="19" t="s">
        <v>56</v>
      </c>
      <c r="E19" s="37" t="s">
        <v>89</v>
      </c>
    </row>
    <row r="20" spans="1:6" s="102" customFormat="1" ht="11.25"/>
    <row r="21" spans="1:6">
      <c r="A21" s="4" t="s">
        <v>57</v>
      </c>
      <c r="B21" s="3" t="s">
        <v>58</v>
      </c>
      <c r="C21" s="3"/>
      <c r="D21" s="3"/>
      <c r="E21" s="8"/>
      <c r="F21" s="3"/>
    </row>
    <row r="22" spans="1:6">
      <c r="A22" s="1">
        <f ca="1">TODAY()</f>
        <v>40037</v>
      </c>
      <c r="B22" s="1">
        <f ca="1">C17</f>
        <v>40056</v>
      </c>
      <c r="C22">
        <f ca="1">NETWORKDAYS(A22,B22)</f>
        <v>14</v>
      </c>
      <c r="D22" s="19" t="s">
        <v>65</v>
      </c>
      <c r="E22" s="2" t="s">
        <v>90</v>
      </c>
      <c r="F22" t="s">
        <v>353</v>
      </c>
    </row>
    <row r="23" spans="1:6" ht="30">
      <c r="A23" s="24">
        <f ca="1">TODAY()</f>
        <v>40037</v>
      </c>
      <c r="B23" s="24">
        <f ca="1">C18</f>
        <v>40086</v>
      </c>
      <c r="C23" s="17">
        <f ca="1">NETWORKDAYS(A23,B23)</f>
        <v>36</v>
      </c>
      <c r="D23" s="26" t="s">
        <v>66</v>
      </c>
      <c r="E23" s="25" t="s">
        <v>91</v>
      </c>
      <c r="F23" s="23" t="s">
        <v>59</v>
      </c>
    </row>
    <row r="24" spans="1:6" s="102" customFormat="1" ht="11.25"/>
    <row r="25" spans="1:6">
      <c r="A25" s="4" t="s">
        <v>60</v>
      </c>
      <c r="B25" s="3" t="s">
        <v>61</v>
      </c>
      <c r="C25" s="3"/>
      <c r="D25" s="3"/>
      <c r="E25" s="8"/>
      <c r="F25" s="3"/>
    </row>
    <row r="26" spans="1:6">
      <c r="A26" s="1">
        <f ca="1">TODAY()</f>
        <v>40037</v>
      </c>
      <c r="B26">
        <v>5</v>
      </c>
      <c r="C26" s="1">
        <f ca="1">WORKDAY(A26,-B26)</f>
        <v>40030</v>
      </c>
      <c r="D26" s="19" t="s">
        <v>62</v>
      </c>
      <c r="E26" s="2" t="s">
        <v>92</v>
      </c>
      <c r="F26" t="s">
        <v>354</v>
      </c>
    </row>
    <row r="27" spans="1:6" ht="30">
      <c r="A27" s="24">
        <f ca="1">TODAY()</f>
        <v>40037</v>
      </c>
      <c r="B27" s="17">
        <v>45</v>
      </c>
      <c r="C27" s="24">
        <f ca="1">WORKDAY(A27,B27)</f>
        <v>40100</v>
      </c>
      <c r="D27" s="26" t="s">
        <v>63</v>
      </c>
      <c r="E27" s="25" t="s">
        <v>93</v>
      </c>
      <c r="F27" s="23" t="s">
        <v>59</v>
      </c>
    </row>
    <row r="28" spans="1:6" s="102" customFormat="1" ht="11.25"/>
    <row r="29" spans="1:6" ht="18" thickBot="1">
      <c r="A29" s="21" t="s">
        <v>67</v>
      </c>
      <c r="B29" s="18"/>
      <c r="C29" s="21"/>
      <c r="D29" s="22"/>
      <c r="E29" s="18" t="s">
        <v>98</v>
      </c>
      <c r="F29" s="18" t="s">
        <v>49</v>
      </c>
    </row>
    <row r="30" spans="1:6" ht="15.75" thickTop="1">
      <c r="A30" s="8" t="s">
        <v>68</v>
      </c>
      <c r="B30" s="8" t="s">
        <v>69</v>
      </c>
      <c r="C30" s="3"/>
      <c r="D30" s="3"/>
      <c r="E30" s="3"/>
      <c r="F30" s="3"/>
    </row>
    <row r="31" spans="1:6">
      <c r="A31" s="1">
        <f ca="1">TODAY()</f>
        <v>40037</v>
      </c>
      <c r="B31">
        <f ca="1">DAY(A31)</f>
        <v>12</v>
      </c>
      <c r="E31" s="2" t="s">
        <v>70</v>
      </c>
      <c r="F31" t="s">
        <v>72</v>
      </c>
    </row>
    <row r="32" spans="1:6" s="102" customFormat="1" ht="11.25"/>
    <row r="33" spans="1:6">
      <c r="A33" s="4" t="s">
        <v>73</v>
      </c>
      <c r="B33" s="3" t="s">
        <v>74</v>
      </c>
      <c r="C33" s="3"/>
      <c r="D33" s="3"/>
      <c r="E33" s="3"/>
      <c r="F33" s="3"/>
    </row>
    <row r="34" spans="1:6">
      <c r="A34" s="1">
        <f t="shared" ref="A34:A40" ca="1" si="0">TODAY()</f>
        <v>40037</v>
      </c>
      <c r="B34">
        <f ca="1">MONTH(A34)</f>
        <v>8</v>
      </c>
      <c r="E34" s="2" t="s">
        <v>75</v>
      </c>
      <c r="F34" t="s">
        <v>76</v>
      </c>
    </row>
    <row r="35" spans="1:6" s="102" customFormat="1" ht="11.25"/>
    <row r="36" spans="1:6">
      <c r="A36" s="4" t="s">
        <v>77</v>
      </c>
      <c r="B36" s="3" t="s">
        <v>78</v>
      </c>
      <c r="C36" s="3"/>
      <c r="D36" s="3"/>
      <c r="E36" s="3"/>
      <c r="F36" s="3"/>
    </row>
    <row r="37" spans="1:6">
      <c r="A37" s="1">
        <f t="shared" ca="1" si="0"/>
        <v>40037</v>
      </c>
      <c r="B37">
        <f ca="1">YEAR(A37)</f>
        <v>2009</v>
      </c>
      <c r="E37" s="2" t="s">
        <v>79</v>
      </c>
      <c r="F37" t="s">
        <v>80</v>
      </c>
    </row>
    <row r="38" spans="1:6" s="102" customFormat="1" ht="11.25"/>
    <row r="39" spans="1:6">
      <c r="A39" s="4" t="s">
        <v>81</v>
      </c>
      <c r="B39" s="3" t="s">
        <v>82</v>
      </c>
      <c r="C39" s="3"/>
      <c r="D39" s="3"/>
      <c r="E39" s="28"/>
      <c r="F39" s="3"/>
    </row>
    <row r="40" spans="1:6">
      <c r="A40" s="1">
        <f t="shared" ca="1" si="0"/>
        <v>40037</v>
      </c>
      <c r="E40" s="40" t="s">
        <v>83</v>
      </c>
      <c r="F40" s="16" t="s">
        <v>84</v>
      </c>
    </row>
    <row r="41" spans="1:6" s="102" customFormat="1" ht="11.25"/>
    <row r="42" spans="1:6">
      <c r="A42" s="38" t="s">
        <v>165</v>
      </c>
      <c r="B42" s="8" t="s">
        <v>168</v>
      </c>
      <c r="C42" s="3"/>
      <c r="D42" s="3"/>
      <c r="E42" s="8"/>
      <c r="F42" s="3"/>
    </row>
    <row r="43" spans="1:6">
      <c r="A43" s="39">
        <f ca="1">NOW()</f>
        <v>40037.966706134262</v>
      </c>
      <c r="B43" s="33">
        <f ca="1">NOW()</f>
        <v>40037.966706134262</v>
      </c>
      <c r="D43" s="250" t="s">
        <v>169</v>
      </c>
      <c r="E43" s="101" t="s">
        <v>174</v>
      </c>
      <c r="F43" t="s">
        <v>166</v>
      </c>
    </row>
    <row r="44" spans="1:6">
      <c r="A44" t="s">
        <v>170</v>
      </c>
      <c r="B44" t="s">
        <v>171</v>
      </c>
      <c r="D44" s="250"/>
    </row>
  </sheetData>
  <mergeCells count="1">
    <mergeCell ref="D43:D44"/>
  </mergeCells>
  <phoneticPr fontId="0" type="noConversion"/>
  <printOptions horizontalCentered="1"/>
  <pageMargins left="0.5" right="0.5" top="0.75" bottom="0.75" header="0.3" footer="0.3"/>
  <pageSetup scale="78" orientation="landscape" r:id="rId1"/>
  <headerFooter>
    <oddFooter>&amp;LBoni Mays
Fayetteville Technical Community College&amp;C&amp;P&amp;Rwww.maysstuff.com</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8</vt:i4>
      </vt:variant>
    </vt:vector>
  </HeadingPairs>
  <TitlesOfParts>
    <vt:vector size="26" baseType="lpstr">
      <vt:lpstr>fx</vt:lpstr>
      <vt:lpstr>IF 1</vt:lpstr>
      <vt:lpstr>IF 2</vt:lpstr>
      <vt:lpstr>IF 3</vt:lpstr>
      <vt:lpstr>IF 4</vt:lpstr>
      <vt:lpstr>IF 5</vt:lpstr>
      <vt:lpstr>IF 6</vt:lpstr>
      <vt:lpstr>PMT</vt:lpstr>
      <vt:lpstr>Date</vt:lpstr>
      <vt:lpstr>Lookup</vt:lpstr>
      <vt:lpstr>More Lookup</vt:lpstr>
      <vt:lpstr>Time</vt:lpstr>
      <vt:lpstr>Other</vt:lpstr>
      <vt:lpstr>New in 07</vt:lpstr>
      <vt:lpstr>Lookup Tables</vt:lpstr>
      <vt:lpstr>Sheet1</vt:lpstr>
      <vt:lpstr>Sheet2</vt:lpstr>
      <vt:lpstr>Sheet3</vt:lpstr>
      <vt:lpstr>Sheet2!Date_and_Time_functions</vt:lpstr>
      <vt:lpstr>Sheet2!Financial_functions</vt:lpstr>
      <vt:lpstr>Sheet2!Information_functions</vt:lpstr>
      <vt:lpstr>Sheet2!Logical_functions</vt:lpstr>
      <vt:lpstr>Sheet2!Lookup_and_Reference_functions</vt:lpstr>
      <vt:lpstr>Sheet2!Math_and_Trigonometry_functions</vt:lpstr>
      <vt:lpstr>Sheet2!Statistical_functions</vt:lpstr>
      <vt:lpstr>Sheet2!Text_functions</vt:lpstr>
    </vt:vector>
  </TitlesOfParts>
  <Company>FTCC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Function Samples</dc:title>
  <dc:creator>carltonhp</dc:creator>
  <cp:lastModifiedBy>carltonhp</cp:lastModifiedBy>
  <cp:lastPrinted>2008-06-10T18:04:36Z</cp:lastPrinted>
  <dcterms:created xsi:type="dcterms:W3CDTF">2008-04-07T19:24:54Z</dcterms:created>
  <dcterms:modified xsi:type="dcterms:W3CDTF">2009-08-13T03:22:54Z</dcterms:modified>
</cp:coreProperties>
</file>