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ivotTables/pivotTable1.xml" ContentType="application/vnd.openxmlformats-officedocument.spreadsheetml.pivot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drawings/drawing2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ain\Documents\"/>
    </mc:Choice>
  </mc:AlternateContent>
  <bookViews>
    <workbookView xWindow="0" yWindow="0" windowWidth="28800" windowHeight="12420" firstSheet="13" activeTab="19"/>
  </bookViews>
  <sheets>
    <sheet name="Top Functions" sheetId="106" r:id="rId1"/>
    <sheet name="All Functions" sheetId="108" r:id="rId2"/>
    <sheet name="New Functions" sheetId="107" r:id="rId3"/>
    <sheet name="INSERT FUNCTION" sheetId="10" r:id="rId4"/>
    <sheet name="1 IF a" sheetId="15" r:id="rId5"/>
    <sheet name="1 IF b" sheetId="1" r:id="rId6"/>
    <sheet name="1 IF c" sheetId="17" r:id="rId7"/>
    <sheet name="1 IF d" sheetId="22" r:id="rId8"/>
    <sheet name="1 IF e" sheetId="19" r:id="rId9"/>
    <sheet name="1 IF f" sheetId="16" r:id="rId10"/>
    <sheet name="2 SUM" sheetId="41" r:id="rId11"/>
    <sheet name="3 SUBTOTAL a" sheetId="39" r:id="rId12"/>
    <sheet name="3 SUBTOTAL b" sheetId="40" r:id="rId13"/>
    <sheet name="4 SUMIF" sheetId="37" r:id="rId14"/>
    <sheet name="5 COUNT" sheetId="36" r:id="rId15"/>
    <sheet name="6 COUNTA" sheetId="43" r:id="rId16"/>
    <sheet name="7 AVERAGE" sheetId="35" r:id="rId17"/>
    <sheet name="8 COUNTBLANK" sheetId="34" r:id="rId18"/>
    <sheet name="9 COUNTIF" sheetId="33" r:id="rId19"/>
    <sheet name="10 Value" sheetId="44" r:id="rId20"/>
    <sheet name="11 TEXT" sheetId="45" r:id="rId21"/>
    <sheet name="12 VLOOKUP" sheetId="46" r:id="rId22"/>
    <sheet name="13 HLOOKUP" sheetId="47" r:id="rId23"/>
    <sheet name="14 TWO WAY LOOKUP" sheetId="48" r:id="rId24"/>
    <sheet name="15 LOOKUP" sheetId="32" r:id="rId25"/>
    <sheet name="16 MATCH" sheetId="49" r:id="rId26"/>
    <sheet name="17 TRIM" sheetId="50" r:id="rId27"/>
    <sheet name="18 PROPER" sheetId="52" r:id="rId28"/>
    <sheet name="19 LOWER" sheetId="54" r:id="rId29"/>
    <sheet name="20 UPPER" sheetId="59" r:id="rId30"/>
    <sheet name="21 LEFT" sheetId="55" r:id="rId31"/>
    <sheet name="22 RIGHT" sheetId="69" r:id="rId32"/>
    <sheet name="23 MID" sheetId="53" r:id="rId33"/>
    <sheet name="24 FIND" sheetId="56" r:id="rId34"/>
    <sheet name="25 SUBSTITUTE" sheetId="58" r:id="rId35"/>
    <sheet name="26 LEN" sheetId="70" r:id="rId36"/>
    <sheet name="26 LEN adv" sheetId="71" r:id="rId37"/>
    <sheet name="27 REPLACE" sheetId="57" r:id="rId38"/>
    <sheet name="28 CONCANTENATE" sheetId="51" r:id="rId39"/>
    <sheet name="29 CLEAN" sheetId="31" r:id="rId40"/>
    <sheet name="30 NOW" sheetId="60" r:id="rId41"/>
    <sheet name="31 TODAY" sheetId="62" r:id="rId42"/>
    <sheet name="32 DATE" sheetId="65" r:id="rId43"/>
    <sheet name="33 MONTH" sheetId="63" r:id="rId44"/>
    <sheet name="34 DAY" sheetId="66" r:id="rId45"/>
    <sheet name="35 YEAR" sheetId="67" r:id="rId46"/>
    <sheet name="36 WEEKDAY" sheetId="68" r:id="rId47"/>
    <sheet name="37 ROUND" sheetId="72" r:id="rId48"/>
    <sheet name="38 ROUNDDOWN" sheetId="73" r:id="rId49"/>
    <sheet name="39 ROUNDUP (2)" sheetId="84" r:id="rId50"/>
    <sheet name="40 MAX" sheetId="74" r:id="rId51"/>
    <sheet name="41 DMAX " sheetId="86" r:id="rId52"/>
    <sheet name="42 MIN " sheetId="87" r:id="rId53"/>
    <sheet name="43 DMIN" sheetId="75" r:id="rId54"/>
    <sheet name="44 MEDIAN" sheetId="76" r:id="rId55"/>
    <sheet name="45 MODE" sheetId="77" r:id="rId56"/>
    <sheet name="46 PERCENTILE" sheetId="78" r:id="rId57"/>
    <sheet name="47 PERCENTRANK" sheetId="88" r:id="rId58"/>
    <sheet name="48 PMT" sheetId="79" r:id="rId59"/>
    <sheet name="49 NPV" sheetId="89" r:id="rId60"/>
    <sheet name="50 DSUM" sheetId="80" r:id="rId61"/>
    <sheet name="51 DCOUNT" sheetId="90" r:id="rId62"/>
    <sheet name="52 DCOUNTA" sheetId="91" r:id="rId63"/>
    <sheet name="53 AND" sheetId="81" r:id="rId64"/>
    <sheet name="54 OR" sheetId="92" r:id="rId65"/>
    <sheet name="55 CHOOSE" sheetId="82" r:id="rId66"/>
    <sheet name="56 TIME" sheetId="83" r:id="rId67"/>
    <sheet name="57 FV" sheetId="42" r:id="rId68"/>
    <sheet name="58 IRR" sheetId="93" r:id="rId69"/>
    <sheet name="59 YIELD" sheetId="94" r:id="rId70"/>
    <sheet name="60 CELL" sheetId="38" r:id="rId71"/>
    <sheet name="61 INFO" sheetId="95" r:id="rId72"/>
    <sheet name="62 ERROR TYPE" sheetId="64" r:id="rId73"/>
    <sheet name="63 ISBLANK" sheetId="61" r:id="rId74"/>
    <sheet name="64 ISNA" sheetId="96" r:id="rId75"/>
    <sheet name="65 GETPIVOTDATA" sheetId="97" r:id="rId76"/>
    <sheet name="66 HYPERLINK" sheetId="98" r:id="rId77"/>
    <sheet name="67 TRANSPOSE" sheetId="99" r:id="rId78"/>
    <sheet name="68 ABS" sheetId="100" r:id="rId79"/>
    <sheet name="69 RAND" sheetId="101" r:id="rId80"/>
    <sheet name="70 RANDBETWEEN" sheetId="103" r:id="rId81"/>
    <sheet name="71 REPT" sheetId="30" r:id="rId82"/>
    <sheet name="72 SLN" sheetId="29" r:id="rId83"/>
    <sheet name="73 SYD" sheetId="28" r:id="rId84"/>
    <sheet name="74 DDB" sheetId="104" r:id="rId85"/>
    <sheet name="75 DGET" sheetId="27" r:id="rId86"/>
    <sheet name="76 ADDRESS" sheetId="109" r:id="rId87"/>
    <sheet name="77 AGGREGATE" sheetId="110" r:id="rId88"/>
    <sheet name="78 FORECAST" sheetId="111" r:id="rId89"/>
    <sheet name="79 GROWTH" sheetId="132" r:id="rId90"/>
    <sheet name="80 LARGE" sheetId="112" r:id="rId91"/>
    <sheet name="81 NOT" sheetId="113" r:id="rId92"/>
    <sheet name="82 OFFSET" sheetId="114" r:id="rId93"/>
    <sheet name="82 OFFSET ADVANCED" sheetId="115" r:id="rId94"/>
    <sheet name="83 PEARSON" sheetId="116" r:id="rId95"/>
    <sheet name="84 PV" sheetId="117" r:id="rId96"/>
    <sheet name="Sheet10" sheetId="118" r:id="rId97"/>
    <sheet name="Sheet11" sheetId="119" r:id="rId98"/>
    <sheet name="Sheet12" sheetId="120" r:id="rId99"/>
    <sheet name="Sheet13" sheetId="121" r:id="rId100"/>
    <sheet name="Sheet14" sheetId="122" r:id="rId101"/>
    <sheet name="Sheet15" sheetId="123" r:id="rId102"/>
    <sheet name="Sheet16" sheetId="124" r:id="rId103"/>
    <sheet name="Sheet17" sheetId="125" r:id="rId104"/>
    <sheet name="Sheet18" sheetId="126" r:id="rId105"/>
    <sheet name="Sheet19" sheetId="127" r:id="rId106"/>
    <sheet name="Sheet20" sheetId="128" r:id="rId107"/>
    <sheet name="Sheet21" sheetId="129" r:id="rId108"/>
    <sheet name="Sheet22" sheetId="130" r:id="rId109"/>
    <sheet name="Sheet23" sheetId="131" r:id="rId110"/>
    <sheet name="120 WEEKNUM" sheetId="25" r:id="rId111"/>
    <sheet name="MORE PMT" sheetId="2" r:id="rId112"/>
    <sheet name="MORE Date" sheetId="4" r:id="rId113"/>
    <sheet name="MORE_Lookup" sheetId="12" r:id="rId114"/>
    <sheet name="MORE Time" sheetId="6" r:id="rId115"/>
    <sheet name="MORE Other" sheetId="7" r:id="rId116"/>
    <sheet name="New in 07" sheetId="11" r:id="rId117"/>
    <sheet name="Lookup Tables" sheetId="9" r:id="rId118"/>
    <sheet name="SELECTED FUNCTIONS" sheetId="14" r:id="rId119"/>
  </sheets>
  <externalReferences>
    <externalReference r:id="rId120"/>
  </externalReferences>
  <definedNames>
    <definedName name="_xlnm._FilterDatabase" localSheetId="4" hidden="1">'1 IF a'!$B$14:$B$31</definedName>
    <definedName name="_Toc309306707" localSheetId="2">'New Functions'!#REF!</definedName>
    <definedName name="_Toc309306708" localSheetId="2">'New Functions'!#REF!</definedName>
    <definedName name="_Toc309306709" localSheetId="2">'New Functions'!#REF!</definedName>
    <definedName name="_Toc309306710" localSheetId="2">'New Functions'!#REF!</definedName>
    <definedName name="_Toc309306711" localSheetId="2">'New Functions'!#REF!</definedName>
    <definedName name="_Toc309306712" localSheetId="2">'New Functions'!#REF!</definedName>
    <definedName name="_Toc309306713" localSheetId="2">'New Functions'!#REF!</definedName>
    <definedName name="_Toc309306714" localSheetId="2">'New Functions'!#REF!</definedName>
    <definedName name="_Toc309306715" localSheetId="2">'New Functions'!#REF!</definedName>
    <definedName name="_Toc309306716" localSheetId="2">'New Functions'!#REF!</definedName>
    <definedName name="_Toc309306717" localSheetId="2">'New Functions'!#REF!</definedName>
    <definedName name="_Toc309306718" localSheetId="2">'New Functions'!#REF!</definedName>
    <definedName name="_Toc309306719" localSheetId="2">'New Functions'!#REF!</definedName>
    <definedName name="data1">'66 HYPERLINK'!$G$12</definedName>
    <definedName name="Date_and_Time_functions" localSheetId="118">'SELECTED FUNCTIONS'!$A$10</definedName>
    <definedName name="Financial_functions" localSheetId="118">'SELECTED FUNCTIONS'!$A$26</definedName>
    <definedName name="Information_functions" localSheetId="118">'SELECTED FUNCTIONS'!$A$36</definedName>
    <definedName name="Logical_functions" localSheetId="118">'SELECTED FUNCTIONS'!$A$49</definedName>
    <definedName name="Lookup_and_Reference_functions" localSheetId="118">'SELECTED FUNCTIONS'!$A$58</definedName>
    <definedName name="Math_and_Trigonometry_functions" localSheetId="118">'SELECTED FUNCTIONS'!$A$69</definedName>
    <definedName name="OLE_LINK1" localSheetId="0">'Top Functions'!#REF!</definedName>
    <definedName name="OLE_LINK2" localSheetId="0">'Top Functions'!#REF!</definedName>
    <definedName name="results1">'66 HYPERLINK'!$G$6</definedName>
    <definedName name="Statistical_functions" localSheetId="118">'SELECTED FUNCTIONS'!$A$81</definedName>
    <definedName name="Text_functions" localSheetId="118">'SELECTED FUNCTIONS'!$A$92</definedName>
  </definedNames>
  <calcPr calcId="152511"/>
  <pivotCaches>
    <pivotCache cacheId="0" r:id="rId121"/>
  </pivotCaches>
</workbook>
</file>

<file path=xl/calcChain.xml><?xml version="1.0" encoding="utf-8"?>
<calcChain xmlns="http://schemas.openxmlformats.org/spreadsheetml/2006/main">
  <c r="A10" i="117" l="1"/>
  <c r="E9" i="116"/>
  <c r="G4" i="114"/>
  <c r="G5" i="113"/>
  <c r="G6" i="113"/>
  <c r="G7" i="113"/>
  <c r="G8" i="113"/>
  <c r="G9" i="113"/>
  <c r="G10" i="113"/>
  <c r="G11" i="113"/>
  <c r="G12" i="113"/>
  <c r="G13" i="113"/>
  <c r="G14" i="113"/>
  <c r="G15" i="113"/>
  <c r="G16" i="113"/>
  <c r="G17" i="113"/>
  <c r="G18" i="113"/>
  <c r="G19" i="113"/>
  <c r="G20" i="113"/>
  <c r="G21" i="113"/>
  <c r="G4" i="113"/>
  <c r="F5" i="113"/>
  <c r="F6" i="113"/>
  <c r="F7" i="113"/>
  <c r="F8" i="113"/>
  <c r="F9" i="113"/>
  <c r="F10" i="113"/>
  <c r="F11" i="113"/>
  <c r="F12" i="113"/>
  <c r="F13" i="113"/>
  <c r="F14" i="113"/>
  <c r="F15" i="113"/>
  <c r="F16" i="113"/>
  <c r="F17" i="113"/>
  <c r="F18" i="113"/>
  <c r="F19" i="113"/>
  <c r="F20" i="113"/>
  <c r="F21" i="113"/>
  <c r="F4" i="113"/>
  <c r="D21" i="113"/>
  <c r="D20" i="113"/>
  <c r="D19" i="113"/>
  <c r="D18" i="113"/>
  <c r="D17" i="113"/>
  <c r="D16" i="113"/>
  <c r="D15" i="113"/>
  <c r="D14" i="113"/>
  <c r="D13" i="113"/>
  <c r="D12" i="113"/>
  <c r="D11" i="113"/>
  <c r="D10" i="113"/>
  <c r="D9" i="113"/>
  <c r="D8" i="113"/>
  <c r="D7" i="113"/>
  <c r="D6" i="113"/>
  <c r="D5" i="113"/>
  <c r="D4" i="113"/>
  <c r="I8" i="112"/>
  <c r="I7" i="112"/>
  <c r="I6" i="112"/>
  <c r="I9" i="112"/>
  <c r="I5" i="112"/>
  <c r="D22" i="112"/>
  <c r="D21" i="112"/>
  <c r="D20" i="112"/>
  <c r="D19" i="112"/>
  <c r="D18" i="112"/>
  <c r="D17" i="112"/>
  <c r="D16" i="112"/>
  <c r="D15" i="112"/>
  <c r="D14" i="112"/>
  <c r="D13" i="112"/>
  <c r="D12" i="112"/>
  <c r="D11" i="112"/>
  <c r="D10" i="112"/>
  <c r="D9" i="112"/>
  <c r="D8" i="112"/>
  <c r="D7" i="112"/>
  <c r="D6" i="112"/>
  <c r="D5" i="112"/>
  <c r="H5" i="132"/>
  <c r="H5" i="111"/>
  <c r="D18" i="110"/>
  <c r="B18" i="110"/>
  <c r="D16" i="110"/>
  <c r="B16" i="110"/>
  <c r="F9" i="110"/>
  <c r="D9" i="110"/>
  <c r="B9" i="110"/>
  <c r="M4" i="109"/>
  <c r="E11" i="109"/>
  <c r="E10" i="109"/>
  <c r="E9" i="109"/>
  <c r="E8" i="109"/>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8" i="55"/>
  <c r="G9" i="55"/>
  <c r="G10" i="55"/>
  <c r="G11" i="55"/>
  <c r="G12" i="55"/>
  <c r="G13" i="55"/>
  <c r="G14" i="55"/>
  <c r="G7" i="55"/>
  <c r="G19" i="40"/>
  <c r="K477" i="108"/>
  <c r="K478" i="108"/>
  <c r="K479" i="108"/>
  <c r="K480" i="108"/>
  <c r="K481" i="108"/>
  <c r="K482" i="108"/>
  <c r="K483" i="108"/>
  <c r="K484" i="108"/>
  <c r="K485" i="108"/>
  <c r="K486" i="108"/>
  <c r="K487" i="108"/>
  <c r="K488" i="108"/>
  <c r="K489" i="108"/>
  <c r="K476" i="108"/>
  <c r="I491" i="108"/>
  <c r="E4" i="108"/>
  <c r="E5" i="108"/>
  <c r="E6" i="108"/>
  <c r="E7" i="108"/>
  <c r="E8" i="108"/>
  <c r="E9" i="108"/>
  <c r="E10" i="108"/>
  <c r="E11" i="108"/>
  <c r="E12" i="108"/>
  <c r="E13" i="108"/>
  <c r="E14" i="108"/>
  <c r="E15" i="108"/>
  <c r="E16" i="108"/>
  <c r="E17" i="108"/>
  <c r="E18" i="108"/>
  <c r="E19" i="108"/>
  <c r="E20" i="108"/>
  <c r="E21" i="108"/>
  <c r="E22" i="108"/>
  <c r="E23" i="108"/>
  <c r="E24" i="108"/>
  <c r="E25" i="108"/>
  <c r="E26" i="108"/>
  <c r="E27" i="108"/>
  <c r="E28" i="108"/>
  <c r="E29" i="108"/>
  <c r="E30" i="108"/>
  <c r="E31" i="108"/>
  <c r="E32" i="108"/>
  <c r="E33" i="108"/>
  <c r="E34" i="108"/>
  <c r="E35" i="108"/>
  <c r="E36" i="108"/>
  <c r="E37" i="108"/>
  <c r="E38" i="108"/>
  <c r="E39" i="108"/>
  <c r="E40" i="108"/>
  <c r="E41" i="108"/>
  <c r="E42" i="108"/>
  <c r="E43" i="108"/>
  <c r="E44" i="108"/>
  <c r="E45" i="108"/>
  <c r="E46" i="108"/>
  <c r="E47" i="108"/>
  <c r="E48" i="108"/>
  <c r="E49" i="108"/>
  <c r="E50" i="108"/>
  <c r="E51" i="108"/>
  <c r="E53" i="108"/>
  <c r="E54" i="108"/>
  <c r="E55" i="108"/>
  <c r="E56" i="108"/>
  <c r="E57" i="108"/>
  <c r="E58" i="108"/>
  <c r="E59" i="108"/>
  <c r="E60" i="108"/>
  <c r="E61" i="108"/>
  <c r="E62" i="108"/>
  <c r="E63" i="108"/>
  <c r="E64" i="108"/>
  <c r="E65" i="108"/>
  <c r="E67" i="108"/>
  <c r="E68" i="108"/>
  <c r="E69" i="108"/>
  <c r="E70" i="108"/>
  <c r="E71" i="108"/>
  <c r="E72" i="108"/>
  <c r="E73" i="108"/>
  <c r="E74" i="108"/>
  <c r="E75" i="108"/>
  <c r="E76" i="108"/>
  <c r="E77" i="108"/>
  <c r="E78" i="108"/>
  <c r="E79" i="108"/>
  <c r="E80" i="108"/>
  <c r="E81" i="108"/>
  <c r="E82" i="108"/>
  <c r="E83" i="108"/>
  <c r="E84" i="108"/>
  <c r="E85" i="108"/>
  <c r="E86" i="108"/>
  <c r="E87" i="108"/>
  <c r="E88" i="108"/>
  <c r="E89" i="108"/>
  <c r="E90" i="108"/>
  <c r="E91" i="108"/>
  <c r="E93" i="108"/>
  <c r="E94" i="108"/>
  <c r="E95" i="108"/>
  <c r="E96" i="108"/>
  <c r="E97" i="108"/>
  <c r="E98" i="108"/>
  <c r="E99" i="108"/>
  <c r="E100" i="108"/>
  <c r="E101" i="108"/>
  <c r="E102" i="108"/>
  <c r="E103" i="108"/>
  <c r="E104" i="108"/>
  <c r="E105" i="108"/>
  <c r="E106" i="108"/>
  <c r="E107" i="108"/>
  <c r="E108" i="108"/>
  <c r="E109" i="108"/>
  <c r="E110" i="108"/>
  <c r="E111" i="108"/>
  <c r="E112" i="108"/>
  <c r="E113" i="108"/>
  <c r="E114" i="108"/>
  <c r="E115" i="108"/>
  <c r="E116" i="108"/>
  <c r="E117" i="108"/>
  <c r="E118" i="108"/>
  <c r="E119" i="108"/>
  <c r="E120" i="108"/>
  <c r="E121" i="108"/>
  <c r="E122" i="108"/>
  <c r="E123" i="108"/>
  <c r="E124" i="108"/>
  <c r="E125" i="108"/>
  <c r="E126" i="108"/>
  <c r="E127" i="108"/>
  <c r="E128" i="108"/>
  <c r="E129" i="108"/>
  <c r="E130" i="108"/>
  <c r="E131" i="108"/>
  <c r="E132" i="108"/>
  <c r="E133" i="108"/>
  <c r="E134" i="108"/>
  <c r="E135" i="108"/>
  <c r="E136" i="108"/>
  <c r="E137" i="108"/>
  <c r="E138" i="108"/>
  <c r="E139" i="108"/>
  <c r="E140" i="108"/>
  <c r="E141" i="108"/>
  <c r="E142" i="108"/>
  <c r="E143" i="108"/>
  <c r="E144" i="108"/>
  <c r="E145" i="108"/>
  <c r="E146" i="108"/>
  <c r="E147" i="108"/>
  <c r="E149" i="108"/>
  <c r="E150" i="108"/>
  <c r="E151" i="108"/>
  <c r="E152" i="108"/>
  <c r="E153" i="108"/>
  <c r="E154" i="108"/>
  <c r="E155" i="108"/>
  <c r="E156" i="108"/>
  <c r="E157" i="108"/>
  <c r="E158" i="108"/>
  <c r="E159" i="108"/>
  <c r="E160" i="108"/>
  <c r="E161" i="108"/>
  <c r="E162" i="108"/>
  <c r="E163" i="108"/>
  <c r="E164" i="108"/>
  <c r="E165" i="108"/>
  <c r="E166" i="108"/>
  <c r="E167" i="108"/>
  <c r="E168" i="108"/>
  <c r="E169" i="108"/>
  <c r="E170" i="108"/>
  <c r="E171" i="108"/>
  <c r="E172" i="108"/>
  <c r="E173" i="108"/>
  <c r="E174" i="108"/>
  <c r="E175" i="108"/>
  <c r="E176" i="108"/>
  <c r="E177" i="108"/>
  <c r="E178" i="108"/>
  <c r="E179" i="108"/>
  <c r="E180" i="108"/>
  <c r="E181" i="108"/>
  <c r="E182" i="108"/>
  <c r="E183" i="108"/>
  <c r="E184" i="108"/>
  <c r="E185" i="108"/>
  <c r="E186" i="108"/>
  <c r="E187" i="108"/>
  <c r="E188" i="108"/>
  <c r="E189" i="108"/>
  <c r="E190" i="108"/>
  <c r="E191" i="108"/>
  <c r="E192" i="108"/>
  <c r="E193" i="108"/>
  <c r="E194" i="108"/>
  <c r="E195" i="108"/>
  <c r="E196" i="108"/>
  <c r="E197" i="108"/>
  <c r="E198" i="108"/>
  <c r="E199" i="108"/>
  <c r="E200" i="108"/>
  <c r="E201" i="108"/>
  <c r="E202" i="108"/>
  <c r="E203" i="108"/>
  <c r="E204" i="108"/>
  <c r="E206" i="108"/>
  <c r="E207" i="108"/>
  <c r="E208" i="108"/>
  <c r="E209" i="108"/>
  <c r="E210" i="108"/>
  <c r="E211" i="108"/>
  <c r="E212" i="108"/>
  <c r="E213" i="108"/>
  <c r="E214" i="108"/>
  <c r="E215" i="108"/>
  <c r="E216" i="108"/>
  <c r="E217" i="108"/>
  <c r="E218" i="108"/>
  <c r="E219" i="108"/>
  <c r="E220" i="108"/>
  <c r="E221" i="108"/>
  <c r="E222" i="108"/>
  <c r="E223" i="108"/>
  <c r="E224" i="108"/>
  <c r="E225" i="108"/>
  <c r="E226" i="108"/>
  <c r="E228" i="108"/>
  <c r="E229" i="108"/>
  <c r="E230" i="108"/>
  <c r="E231" i="108"/>
  <c r="E232" i="108"/>
  <c r="E233" i="108"/>
  <c r="E234" i="108"/>
  <c r="E235" i="108"/>
  <c r="E236" i="108"/>
  <c r="E237" i="108"/>
  <c r="E239" i="108"/>
  <c r="E240" i="108"/>
  <c r="E241" i="108"/>
  <c r="E242" i="108"/>
  <c r="E243" i="108"/>
  <c r="E244" i="108"/>
  <c r="E245" i="108"/>
  <c r="E246" i="108"/>
  <c r="E247" i="108"/>
  <c r="E248" i="108"/>
  <c r="E249" i="108"/>
  <c r="E250" i="108"/>
  <c r="E251" i="108"/>
  <c r="E252" i="108"/>
  <c r="E253" i="108"/>
  <c r="E254" i="108"/>
  <c r="E255" i="108"/>
  <c r="E256" i="108"/>
  <c r="E257" i="108"/>
  <c r="E258" i="108"/>
  <c r="E260" i="108"/>
  <c r="E261" i="108"/>
  <c r="E262" i="108"/>
  <c r="E263" i="108"/>
  <c r="E264" i="108"/>
  <c r="E265" i="108"/>
  <c r="E266" i="108"/>
  <c r="E267" i="108"/>
  <c r="E268" i="108"/>
  <c r="E269" i="108"/>
  <c r="E270" i="108"/>
  <c r="E271" i="108"/>
  <c r="E272" i="108"/>
  <c r="E273" i="108"/>
  <c r="E274" i="108"/>
  <c r="E275" i="108"/>
  <c r="E276" i="108"/>
  <c r="E277" i="108"/>
  <c r="E278" i="108"/>
  <c r="E279" i="108"/>
  <c r="E280" i="108"/>
  <c r="E281" i="108"/>
  <c r="E282" i="108"/>
  <c r="E283" i="108"/>
  <c r="E284" i="108"/>
  <c r="E285" i="108"/>
  <c r="E286" i="108"/>
  <c r="E287" i="108"/>
  <c r="E288" i="108"/>
  <c r="E289" i="108"/>
  <c r="E290" i="108"/>
  <c r="E291" i="108"/>
  <c r="E292" i="108"/>
  <c r="E293" i="108"/>
  <c r="E294" i="108"/>
  <c r="E295" i="108"/>
  <c r="E296" i="108"/>
  <c r="E297" i="108"/>
  <c r="E298" i="108"/>
  <c r="E299" i="108"/>
  <c r="E300" i="108"/>
  <c r="E301" i="108"/>
  <c r="E302" i="108"/>
  <c r="E303" i="108"/>
  <c r="E304" i="108"/>
  <c r="E305" i="108"/>
  <c r="E306" i="108"/>
  <c r="E307" i="108"/>
  <c r="E308" i="108"/>
  <c r="E309" i="108"/>
  <c r="E310" i="108"/>
  <c r="E311" i="108"/>
  <c r="E312" i="108"/>
  <c r="E313" i="108"/>
  <c r="E314" i="108"/>
  <c r="E315" i="108"/>
  <c r="E316" i="108"/>
  <c r="E317" i="108"/>
  <c r="E318" i="108"/>
  <c r="E319" i="108"/>
  <c r="E320" i="108"/>
  <c r="E321" i="108"/>
  <c r="E322" i="108"/>
  <c r="E323" i="108"/>
  <c r="E324" i="108"/>
  <c r="E325" i="108"/>
  <c r="E326" i="108"/>
  <c r="E327" i="108"/>
  <c r="E328" i="108"/>
  <c r="E329" i="108"/>
  <c r="E330" i="108"/>
  <c r="E331" i="108"/>
  <c r="E332" i="108"/>
  <c r="E333" i="108"/>
  <c r="E334" i="108"/>
  <c r="E335" i="108"/>
  <c r="E336" i="108"/>
  <c r="E337" i="108"/>
  <c r="E338" i="108"/>
  <c r="E339" i="108"/>
  <c r="E341" i="108"/>
  <c r="E342" i="108"/>
  <c r="E343" i="108"/>
  <c r="E344" i="108"/>
  <c r="E345" i="108"/>
  <c r="E346" i="108"/>
  <c r="E347" i="108"/>
  <c r="E348" i="108"/>
  <c r="E349" i="108"/>
  <c r="E350" i="108"/>
  <c r="E351" i="108"/>
  <c r="E352" i="108"/>
  <c r="E353" i="108"/>
  <c r="E354" i="108"/>
  <c r="E355" i="108"/>
  <c r="E356" i="108"/>
  <c r="E357" i="108"/>
  <c r="E358" i="108"/>
  <c r="E359" i="108"/>
  <c r="E360" i="108"/>
  <c r="E361" i="108"/>
  <c r="E362" i="108"/>
  <c r="E363" i="108"/>
  <c r="E364" i="108"/>
  <c r="E365" i="108"/>
  <c r="E366" i="108"/>
  <c r="E367" i="108"/>
  <c r="E368" i="108"/>
  <c r="E369" i="108"/>
  <c r="E370" i="108"/>
  <c r="E371" i="108"/>
  <c r="E372" i="108"/>
  <c r="E373" i="108"/>
  <c r="E374" i="108"/>
  <c r="E375" i="108"/>
  <c r="E376" i="108"/>
  <c r="E377" i="108"/>
  <c r="E378" i="108"/>
  <c r="E379" i="108"/>
  <c r="E380" i="108"/>
  <c r="E381" i="108"/>
  <c r="E382" i="108"/>
  <c r="E383" i="108"/>
  <c r="E384" i="108"/>
  <c r="E385" i="108"/>
  <c r="E386" i="108"/>
  <c r="E387" i="108"/>
  <c r="E388" i="108"/>
  <c r="E389" i="108"/>
  <c r="E390" i="108"/>
  <c r="E391" i="108"/>
  <c r="E392" i="108"/>
  <c r="E393" i="108"/>
  <c r="E394" i="108"/>
  <c r="E395" i="108"/>
  <c r="E396" i="108"/>
  <c r="E397" i="108"/>
  <c r="E398" i="108"/>
  <c r="E399" i="108"/>
  <c r="E400" i="108"/>
  <c r="E401" i="108"/>
  <c r="E402" i="108"/>
  <c r="E403" i="108"/>
  <c r="E404" i="108"/>
  <c r="E405" i="108"/>
  <c r="E406" i="108"/>
  <c r="E407" i="108"/>
  <c r="E408" i="108"/>
  <c r="E409" i="108"/>
  <c r="E410" i="108"/>
  <c r="E411" i="108"/>
  <c r="E412" i="108"/>
  <c r="E413" i="108"/>
  <c r="E414" i="108"/>
  <c r="E415" i="108"/>
  <c r="E416" i="108"/>
  <c r="E417" i="108"/>
  <c r="E418" i="108"/>
  <c r="E419" i="108"/>
  <c r="E420" i="108"/>
  <c r="E421" i="108"/>
  <c r="E422" i="108"/>
  <c r="E423" i="108"/>
  <c r="E424" i="108"/>
  <c r="E425" i="108"/>
  <c r="E426" i="108"/>
  <c r="E427" i="108"/>
  <c r="E428" i="108"/>
  <c r="E429" i="108"/>
  <c r="E430" i="108"/>
  <c r="E431" i="108"/>
  <c r="E432" i="108"/>
  <c r="E433" i="108"/>
  <c r="E434" i="108"/>
  <c r="E435" i="108"/>
  <c r="E436" i="108"/>
  <c r="E437" i="108"/>
  <c r="E438" i="108"/>
  <c r="E439" i="108"/>
  <c r="E440" i="108"/>
  <c r="E441" i="108"/>
  <c r="E442" i="108"/>
  <c r="E443" i="108"/>
  <c r="E444" i="108"/>
  <c r="E445" i="108"/>
  <c r="E447" i="108"/>
  <c r="E448" i="108"/>
  <c r="E449" i="108"/>
  <c r="E450" i="108"/>
  <c r="E451" i="108"/>
  <c r="E452" i="108"/>
  <c r="E453" i="108"/>
  <c r="E454" i="108"/>
  <c r="E455" i="108"/>
  <c r="E456" i="108"/>
  <c r="E457" i="108"/>
  <c r="E458" i="108"/>
  <c r="E459" i="108"/>
  <c r="E460" i="108"/>
  <c r="E461" i="108"/>
  <c r="E462" i="108"/>
  <c r="E463" i="108"/>
  <c r="E464" i="108"/>
  <c r="E465" i="108"/>
  <c r="E466" i="108"/>
  <c r="E467" i="108"/>
  <c r="E468" i="108"/>
  <c r="E469" i="108"/>
  <c r="E470" i="108"/>
  <c r="E471" i="108"/>
  <c r="E472" i="108"/>
  <c r="E473" i="108"/>
  <c r="E474" i="108"/>
  <c r="E475" i="108"/>
  <c r="E476" i="108"/>
  <c r="E477" i="108"/>
  <c r="E478" i="108"/>
  <c r="E479" i="108"/>
  <c r="E480" i="108"/>
  <c r="E481" i="108"/>
  <c r="E482" i="108"/>
  <c r="E483" i="108"/>
  <c r="E484" i="108"/>
  <c r="E485" i="108"/>
  <c r="E486" i="108"/>
  <c r="E487" i="108"/>
  <c r="F3" i="108"/>
  <c r="E3" i="108" s="1"/>
  <c r="F205" i="108"/>
  <c r="E205" i="108" s="1"/>
  <c r="F148" i="108"/>
  <c r="E148" i="108" s="1"/>
  <c r="F92" i="108"/>
  <c r="E92" i="108" s="1"/>
  <c r="F66" i="108"/>
  <c r="E66" i="108" s="1"/>
  <c r="F52" i="108"/>
  <c r="E52" i="108" s="1"/>
  <c r="F43" i="108"/>
  <c r="K28" i="103" l="1"/>
  <c r="K27" i="103"/>
  <c r="K26" i="103"/>
  <c r="K25" i="103"/>
  <c r="K24" i="103"/>
  <c r="K23" i="103"/>
  <c r="K22" i="103"/>
  <c r="K21" i="103"/>
  <c r="K20" i="103"/>
  <c r="K19" i="103"/>
  <c r="K18" i="103"/>
  <c r="K17" i="103"/>
  <c r="K16" i="103"/>
  <c r="K15" i="103"/>
  <c r="K14" i="103"/>
  <c r="K13" i="103"/>
  <c r="K12" i="103"/>
  <c r="K11" i="103"/>
  <c r="K10" i="103"/>
  <c r="K9" i="103"/>
  <c r="I28" i="103"/>
  <c r="I27" i="103"/>
  <c r="I26" i="103"/>
  <c r="I25" i="103"/>
  <c r="I24" i="103"/>
  <c r="I23" i="103"/>
  <c r="I22" i="103"/>
  <c r="I21" i="103"/>
  <c r="I20" i="103"/>
  <c r="I19" i="103"/>
  <c r="I18" i="103"/>
  <c r="I17" i="103"/>
  <c r="I16" i="103"/>
  <c r="I15" i="103"/>
  <c r="I14" i="103"/>
  <c r="I13" i="103"/>
  <c r="I12" i="103"/>
  <c r="I11" i="103"/>
  <c r="I10" i="103"/>
  <c r="I9" i="103"/>
  <c r="G28" i="103"/>
  <c r="G27" i="103"/>
  <c r="G26" i="103"/>
  <c r="G25" i="103"/>
  <c r="G24" i="103"/>
  <c r="G23" i="103"/>
  <c r="G22" i="103"/>
  <c r="G21" i="103"/>
  <c r="G20" i="103"/>
  <c r="G19" i="103"/>
  <c r="G18" i="103"/>
  <c r="G17" i="103"/>
  <c r="G16" i="103"/>
  <c r="G15" i="103"/>
  <c r="G14" i="103"/>
  <c r="G13" i="103"/>
  <c r="G12" i="103"/>
  <c r="G11" i="103"/>
  <c r="G10" i="103"/>
  <c r="G9" i="103"/>
  <c r="E10" i="103"/>
  <c r="E11" i="103"/>
  <c r="E12" i="103"/>
  <c r="E13" i="103"/>
  <c r="E14" i="103"/>
  <c r="E15" i="103"/>
  <c r="E16" i="103"/>
  <c r="E17" i="103"/>
  <c r="E18" i="103"/>
  <c r="E19" i="103"/>
  <c r="E20" i="103"/>
  <c r="E21" i="103"/>
  <c r="E22" i="103"/>
  <c r="E23" i="103"/>
  <c r="E24" i="103"/>
  <c r="E25" i="103"/>
  <c r="E26" i="103"/>
  <c r="E27" i="103"/>
  <c r="E28" i="103"/>
  <c r="E9" i="103"/>
  <c r="I3" i="27"/>
  <c r="C15" i="107"/>
  <c r="A228" i="108"/>
  <c r="A229" i="108" l="1"/>
  <c r="F9" i="104"/>
  <c r="F6" i="25"/>
  <c r="E12" i="27"/>
  <c r="E11" i="27"/>
  <c r="E10" i="27"/>
  <c r="E9" i="27"/>
  <c r="F9" i="28"/>
  <c r="F9" i="29"/>
  <c r="B5" i="30"/>
  <c r="C5" i="30" s="1"/>
  <c r="B6" i="30"/>
  <c r="C6" i="30" s="1"/>
  <c r="B7" i="30"/>
  <c r="C7" i="30" s="1"/>
  <c r="B8" i="30"/>
  <c r="C8" i="30" s="1"/>
  <c r="B9" i="30"/>
  <c r="C9" i="30" s="1"/>
  <c r="B10" i="30"/>
  <c r="C10" i="30" s="1"/>
  <c r="B11" i="30"/>
  <c r="C11" i="30" s="1"/>
  <c r="B12" i="30"/>
  <c r="C12" i="30" s="1"/>
  <c r="B13" i="30"/>
  <c r="C13" i="30" s="1"/>
  <c r="B14" i="30"/>
  <c r="C14" i="30" s="1"/>
  <c r="B15" i="30"/>
  <c r="C15" i="30" s="1"/>
  <c r="B16" i="30"/>
  <c r="C16" i="30" s="1"/>
  <c r="B17" i="30"/>
  <c r="C17" i="30" s="1"/>
  <c r="B18" i="30"/>
  <c r="C18" i="30" s="1"/>
  <c r="B19" i="30"/>
  <c r="C19" i="30" s="1"/>
  <c r="B20" i="30"/>
  <c r="C20" i="30" s="1"/>
  <c r="B4" i="30"/>
  <c r="C4" i="30" s="1"/>
  <c r="F9" i="103"/>
  <c r="H9" i="103"/>
  <c r="J9" i="103"/>
  <c r="L9" i="103"/>
  <c r="F10" i="103"/>
  <c r="H10" i="103"/>
  <c r="J10" i="103"/>
  <c r="L10" i="103"/>
  <c r="F11" i="103"/>
  <c r="H11" i="103"/>
  <c r="J11" i="103"/>
  <c r="L11" i="103"/>
  <c r="F12" i="103"/>
  <c r="H12" i="103"/>
  <c r="J12" i="103"/>
  <c r="L12" i="103"/>
  <c r="F13" i="103"/>
  <c r="H13" i="103"/>
  <c r="J13" i="103"/>
  <c r="L13" i="103"/>
  <c r="F14" i="103"/>
  <c r="H14" i="103"/>
  <c r="J14" i="103"/>
  <c r="L14" i="103"/>
  <c r="F15" i="103"/>
  <c r="H15" i="103"/>
  <c r="J15" i="103"/>
  <c r="L15" i="103"/>
  <c r="F16" i="103"/>
  <c r="H16" i="103"/>
  <c r="J16" i="103"/>
  <c r="L16" i="103"/>
  <c r="F17" i="103"/>
  <c r="H17" i="103"/>
  <c r="J17" i="103"/>
  <c r="L17" i="103"/>
  <c r="F18" i="103"/>
  <c r="H18" i="103"/>
  <c r="J18" i="103"/>
  <c r="L18" i="103"/>
  <c r="F19" i="103"/>
  <c r="H19" i="103"/>
  <c r="J19" i="103"/>
  <c r="L19" i="103"/>
  <c r="F20" i="103"/>
  <c r="H20" i="103"/>
  <c r="J20" i="103"/>
  <c r="L20" i="103"/>
  <c r="F21" i="103"/>
  <c r="H21" i="103"/>
  <c r="J21" i="103"/>
  <c r="L21" i="103"/>
  <c r="F22" i="103"/>
  <c r="H22" i="103"/>
  <c r="J22" i="103"/>
  <c r="L22" i="103"/>
  <c r="F23" i="103"/>
  <c r="H23" i="103"/>
  <c r="J23" i="103"/>
  <c r="L23" i="103"/>
  <c r="F24" i="103"/>
  <c r="H24" i="103"/>
  <c r="J24" i="103"/>
  <c r="L24" i="103"/>
  <c r="F25" i="103"/>
  <c r="H25" i="103"/>
  <c r="J25" i="103"/>
  <c r="L25" i="103"/>
  <c r="F26" i="103"/>
  <c r="H26" i="103"/>
  <c r="J26" i="103"/>
  <c r="L26" i="103"/>
  <c r="F27" i="103"/>
  <c r="H27" i="103"/>
  <c r="J27" i="103"/>
  <c r="L27" i="103"/>
  <c r="F28" i="103"/>
  <c r="H28" i="103"/>
  <c r="J28" i="103"/>
  <c r="L28" i="103"/>
  <c r="D10" i="103"/>
  <c r="D11" i="103"/>
  <c r="D12" i="103"/>
  <c r="D13" i="103"/>
  <c r="D14" i="103"/>
  <c r="D15" i="103"/>
  <c r="D16" i="103"/>
  <c r="D17" i="103"/>
  <c r="D18" i="103"/>
  <c r="D19" i="103"/>
  <c r="D20" i="103"/>
  <c r="D21" i="103"/>
  <c r="D22" i="103"/>
  <c r="D23" i="103"/>
  <c r="D24" i="103"/>
  <c r="D25" i="103"/>
  <c r="D26" i="103"/>
  <c r="D27" i="103"/>
  <c r="D28" i="103"/>
  <c r="D9" i="103"/>
  <c r="C5" i="103"/>
  <c r="C6" i="103" s="1"/>
  <c r="B7" i="101"/>
  <c r="D7" i="101" s="1"/>
  <c r="B8" i="101"/>
  <c r="D8" i="101" s="1"/>
  <c r="B9" i="101"/>
  <c r="D9" i="101" s="1"/>
  <c r="B10" i="101"/>
  <c r="D10" i="101" s="1"/>
  <c r="B11" i="101"/>
  <c r="D11" i="101" s="1"/>
  <c r="B12" i="101"/>
  <c r="D12" i="101" s="1"/>
  <c r="B13" i="101"/>
  <c r="D13" i="101" s="1"/>
  <c r="B14" i="101"/>
  <c r="D14" i="101" s="1"/>
  <c r="B15" i="101"/>
  <c r="D15" i="101" s="1"/>
  <c r="B6" i="101"/>
  <c r="D6" i="101" s="1"/>
  <c r="F32" i="100"/>
  <c r="G32" i="100" s="1"/>
  <c r="F31" i="100"/>
  <c r="G31" i="100" s="1"/>
  <c r="F30" i="100"/>
  <c r="G30" i="100" s="1"/>
  <c r="G28" i="100"/>
  <c r="H28" i="100" s="1"/>
  <c r="F28" i="100"/>
  <c r="F27" i="100"/>
  <c r="G27" i="100" s="1"/>
  <c r="H27" i="100" s="1"/>
  <c r="G26" i="100"/>
  <c r="H26" i="100" s="1"/>
  <c r="F26" i="100"/>
  <c r="F25" i="100"/>
  <c r="G25" i="100" s="1"/>
  <c r="H25" i="100" s="1"/>
  <c r="F24" i="100"/>
  <c r="G24" i="100" s="1"/>
  <c r="H24" i="100" s="1"/>
  <c r="F23" i="100"/>
  <c r="G23" i="100" s="1"/>
  <c r="H23" i="100" s="1"/>
  <c r="F22" i="100"/>
  <c r="G22" i="100" s="1"/>
  <c r="H22" i="100" s="1"/>
  <c r="F21" i="100"/>
  <c r="G21" i="100" s="1"/>
  <c r="H21" i="100" s="1"/>
  <c r="F20" i="100"/>
  <c r="G20" i="100" s="1"/>
  <c r="H20" i="100" s="1"/>
  <c r="F19" i="100"/>
  <c r="G19" i="100" s="1"/>
  <c r="H19" i="100" s="1"/>
  <c r="F18" i="100"/>
  <c r="G18" i="100" s="1"/>
  <c r="H18" i="100" s="1"/>
  <c r="F17" i="100"/>
  <c r="G17" i="100" s="1"/>
  <c r="H17" i="100" s="1"/>
  <c r="F16" i="100"/>
  <c r="G16" i="100" s="1"/>
  <c r="H16" i="100" s="1"/>
  <c r="F15" i="100"/>
  <c r="G15" i="100" s="1"/>
  <c r="H15" i="100" s="1"/>
  <c r="F14" i="100"/>
  <c r="G14" i="100" s="1"/>
  <c r="H14" i="100" s="1"/>
  <c r="F13" i="100"/>
  <c r="G13" i="100" s="1"/>
  <c r="H13" i="100" s="1"/>
  <c r="F12" i="100"/>
  <c r="G12" i="100" s="1"/>
  <c r="H12" i="100" s="1"/>
  <c r="F11" i="100"/>
  <c r="G11" i="100" s="1"/>
  <c r="H11" i="100" s="1"/>
  <c r="F10" i="100"/>
  <c r="G10" i="100" s="1"/>
  <c r="H10" i="100" s="1"/>
  <c r="F9" i="100"/>
  <c r="G9" i="100" s="1"/>
  <c r="H9" i="100" s="1"/>
  <c r="F8" i="100"/>
  <c r="G8" i="100" s="1"/>
  <c r="H8" i="100" s="1"/>
  <c r="F7" i="100"/>
  <c r="G7" i="100" s="1"/>
  <c r="H7" i="100" s="1"/>
  <c r="F6" i="100"/>
  <c r="G6" i="100" s="1"/>
  <c r="H6" i="100" s="1"/>
  <c r="G5" i="100"/>
  <c r="H5" i="100" s="1"/>
  <c r="F5" i="100"/>
  <c r="F4" i="100"/>
  <c r="A230" i="108" l="1"/>
  <c r="F34" i="100"/>
  <c r="G4" i="100"/>
  <c r="H4" i="100" s="1"/>
  <c r="A231" i="108" l="1"/>
  <c r="B12" i="99"/>
  <c r="H9" i="99"/>
  <c r="G9" i="99"/>
  <c r="F9" i="99"/>
  <c r="E9" i="99"/>
  <c r="D9" i="99"/>
  <c r="C9" i="99"/>
  <c r="C6" i="98"/>
  <c r="C4" i="98"/>
  <c r="J215" i="97"/>
  <c r="J214" i="97"/>
  <c r="J213" i="97"/>
  <c r="J212" i="97"/>
  <c r="J211" i="97"/>
  <c r="J210" i="97"/>
  <c r="J209" i="97"/>
  <c r="J208" i="97"/>
  <c r="J207" i="97"/>
  <c r="J206" i="97"/>
  <c r="J205" i="97"/>
  <c r="J204" i="97"/>
  <c r="J203" i="97"/>
  <c r="J202" i="97"/>
  <c r="J201" i="97"/>
  <c r="J200" i="97"/>
  <c r="J199" i="97"/>
  <c r="J198" i="97"/>
  <c r="J197" i="97"/>
  <c r="J196" i="97"/>
  <c r="J195" i="97"/>
  <c r="J194" i="97"/>
  <c r="J193" i="97"/>
  <c r="J192" i="97"/>
  <c r="J191" i="97"/>
  <c r="J190" i="97"/>
  <c r="J189" i="97"/>
  <c r="J188" i="97"/>
  <c r="J187" i="97"/>
  <c r="J186" i="97"/>
  <c r="J185" i="97"/>
  <c r="J184" i="97"/>
  <c r="J183" i="97"/>
  <c r="J182" i="97"/>
  <c r="J181" i="97"/>
  <c r="J180" i="97"/>
  <c r="J179" i="97"/>
  <c r="J178" i="97"/>
  <c r="J177" i="97"/>
  <c r="J176" i="97"/>
  <c r="J175" i="97"/>
  <c r="J174" i="97"/>
  <c r="J173" i="97"/>
  <c r="J172" i="97"/>
  <c r="J171" i="97"/>
  <c r="J170" i="97"/>
  <c r="J169" i="97"/>
  <c r="J168" i="97"/>
  <c r="J167" i="97"/>
  <c r="J166" i="97"/>
  <c r="J165" i="97"/>
  <c r="J164" i="97"/>
  <c r="J163" i="97"/>
  <c r="J162" i="97"/>
  <c r="J161" i="97"/>
  <c r="J160" i="97"/>
  <c r="J159" i="97"/>
  <c r="J158" i="97"/>
  <c r="J157" i="97"/>
  <c r="J156" i="97"/>
  <c r="J155" i="97"/>
  <c r="J154" i="97"/>
  <c r="J153" i="97"/>
  <c r="J152" i="97"/>
  <c r="J151" i="97"/>
  <c r="J150" i="97"/>
  <c r="J149" i="97"/>
  <c r="J148" i="97"/>
  <c r="J147" i="97"/>
  <c r="J146" i="97"/>
  <c r="J145" i="97"/>
  <c r="J144" i="97"/>
  <c r="J143" i="97"/>
  <c r="J142" i="97"/>
  <c r="J141" i="97"/>
  <c r="J140" i="97"/>
  <c r="J139" i="97"/>
  <c r="J138" i="97"/>
  <c r="J137" i="97"/>
  <c r="J136" i="97"/>
  <c r="J135" i="97"/>
  <c r="J134" i="97"/>
  <c r="J133" i="97"/>
  <c r="J132" i="97"/>
  <c r="J131" i="97"/>
  <c r="J130" i="97"/>
  <c r="J129" i="97"/>
  <c r="J128" i="97"/>
  <c r="J127" i="97"/>
  <c r="J126" i="97"/>
  <c r="J125" i="97"/>
  <c r="J124" i="97"/>
  <c r="J123" i="97"/>
  <c r="J122" i="97"/>
  <c r="J121" i="97"/>
  <c r="J120" i="97"/>
  <c r="J119" i="97"/>
  <c r="J118" i="97"/>
  <c r="J117" i="97"/>
  <c r="J116" i="97"/>
  <c r="J115" i="97"/>
  <c r="J114" i="97"/>
  <c r="J113" i="97"/>
  <c r="J112" i="97"/>
  <c r="J111" i="97"/>
  <c r="J110" i="97"/>
  <c r="J109" i="97"/>
  <c r="J108" i="97"/>
  <c r="J107" i="97"/>
  <c r="J106" i="97"/>
  <c r="J105" i="97"/>
  <c r="J104" i="97"/>
  <c r="J103" i="97"/>
  <c r="J102" i="97"/>
  <c r="J101" i="97"/>
  <c r="J100" i="97"/>
  <c r="J99" i="97"/>
  <c r="J98" i="97"/>
  <c r="J97" i="97"/>
  <c r="J96" i="97"/>
  <c r="J95" i="97"/>
  <c r="J94" i="97"/>
  <c r="J93" i="97"/>
  <c r="J92" i="97"/>
  <c r="J91" i="97"/>
  <c r="J90" i="97"/>
  <c r="J89" i="97"/>
  <c r="J88" i="97"/>
  <c r="J87" i="97"/>
  <c r="J86" i="97"/>
  <c r="J85" i="97"/>
  <c r="J84" i="97"/>
  <c r="J83" i="97"/>
  <c r="J82" i="97"/>
  <c r="J81" i="97"/>
  <c r="J80" i="97"/>
  <c r="J79" i="97"/>
  <c r="J78" i="97"/>
  <c r="J77" i="97"/>
  <c r="J76" i="97"/>
  <c r="J75" i="97"/>
  <c r="J74" i="97"/>
  <c r="J73" i="97"/>
  <c r="J72" i="97"/>
  <c r="J71" i="97"/>
  <c r="J70" i="97"/>
  <c r="J69" i="97"/>
  <c r="J68" i="97"/>
  <c r="J67" i="97"/>
  <c r="J66" i="97"/>
  <c r="J65" i="97"/>
  <c r="J64" i="97"/>
  <c r="J63" i="97"/>
  <c r="A9" i="96"/>
  <c r="C5" i="96"/>
  <c r="C5" i="61"/>
  <c r="D10" i="95"/>
  <c r="D9" i="95"/>
  <c r="D8" i="95"/>
  <c r="D7" i="95"/>
  <c r="D6" i="95"/>
  <c r="D5" i="95"/>
  <c r="D4" i="95"/>
  <c r="E9" i="64"/>
  <c r="E13" i="64" s="1"/>
  <c r="D15" i="38"/>
  <c r="D14" i="38"/>
  <c r="D13" i="38"/>
  <c r="D12" i="38"/>
  <c r="D11" i="38"/>
  <c r="D10" i="38"/>
  <c r="M3" i="97"/>
  <c r="M2" i="97"/>
  <c r="D9" i="38"/>
  <c r="A232" i="108" l="1"/>
  <c r="D8" i="38"/>
  <c r="D7" i="38"/>
  <c r="D6" i="38"/>
  <c r="D5" i="38"/>
  <c r="B14" i="94"/>
  <c r="C6" i="93"/>
  <c r="C7" i="93"/>
  <c r="C8" i="93"/>
  <c r="C9" i="93"/>
  <c r="C10" i="93"/>
  <c r="D7" i="42"/>
  <c r="H17" i="83"/>
  <c r="H18" i="83"/>
  <c r="H9" i="83"/>
  <c r="H10" i="83"/>
  <c r="H11" i="83"/>
  <c r="H12" i="83"/>
  <c r="H13" i="83"/>
  <c r="H14" i="83"/>
  <c r="H15" i="83"/>
  <c r="H16" i="83"/>
  <c r="H5" i="83"/>
  <c r="H6" i="83"/>
  <c r="H7" i="83"/>
  <c r="H8" i="83"/>
  <c r="H4" i="83"/>
  <c r="E5" i="82"/>
  <c r="E9" i="82"/>
  <c r="E11" i="82"/>
  <c r="E19" i="82"/>
  <c r="E21" i="82"/>
  <c r="E4" i="82"/>
  <c r="D5" i="82"/>
  <c r="D6" i="82"/>
  <c r="E6" i="82" s="1"/>
  <c r="D7" i="82"/>
  <c r="E7" i="82" s="1"/>
  <c r="D8" i="82"/>
  <c r="E8" i="82" s="1"/>
  <c r="D9" i="82"/>
  <c r="D10" i="82"/>
  <c r="E10" i="82" s="1"/>
  <c r="D11" i="82"/>
  <c r="D12" i="82"/>
  <c r="E12" i="82" s="1"/>
  <c r="D13" i="82"/>
  <c r="E13" i="82" s="1"/>
  <c r="D14" i="82"/>
  <c r="E14" i="82" s="1"/>
  <c r="D15" i="82"/>
  <c r="E15" i="82" s="1"/>
  <c r="D16" i="82"/>
  <c r="E16" i="82" s="1"/>
  <c r="D17" i="82"/>
  <c r="E17" i="82" s="1"/>
  <c r="D18" i="82"/>
  <c r="E18" i="82" s="1"/>
  <c r="D19" i="82"/>
  <c r="D20" i="82"/>
  <c r="E20" i="82" s="1"/>
  <c r="D21" i="82"/>
  <c r="D22" i="82"/>
  <c r="E22" i="82" s="1"/>
  <c r="D23" i="82"/>
  <c r="E23" i="82" s="1"/>
  <c r="D24" i="82"/>
  <c r="E24" i="82" s="1"/>
  <c r="D4" i="82"/>
  <c r="J7" i="92"/>
  <c r="J8" i="92"/>
  <c r="J9" i="92"/>
  <c r="J10" i="92"/>
  <c r="J11" i="92"/>
  <c r="J12" i="92"/>
  <c r="J13" i="92"/>
  <c r="J14" i="92"/>
  <c r="J15" i="92"/>
  <c r="J16" i="92"/>
  <c r="J17" i="92"/>
  <c r="J18" i="92"/>
  <c r="J19" i="92"/>
  <c r="J20" i="92"/>
  <c r="J21" i="92"/>
  <c r="J22" i="92"/>
  <c r="J23" i="92"/>
  <c r="J24" i="92"/>
  <c r="J25" i="92"/>
  <c r="J26" i="92"/>
  <c r="J27" i="92"/>
  <c r="J6" i="92"/>
  <c r="J7" i="81"/>
  <c r="J8" i="81"/>
  <c r="J9" i="81"/>
  <c r="J10" i="81"/>
  <c r="J11" i="81"/>
  <c r="J12" i="81"/>
  <c r="J13" i="81"/>
  <c r="J14" i="81"/>
  <c r="J15" i="81"/>
  <c r="J16" i="81"/>
  <c r="J17" i="81"/>
  <c r="J18" i="81"/>
  <c r="J19" i="81"/>
  <c r="J20" i="81"/>
  <c r="J21" i="81"/>
  <c r="J22" i="81"/>
  <c r="J23" i="81"/>
  <c r="J24" i="81"/>
  <c r="J25" i="81"/>
  <c r="J26" i="81"/>
  <c r="J27" i="81"/>
  <c r="J6" i="81"/>
  <c r="H78" i="91"/>
  <c r="H77" i="91"/>
  <c r="H76" i="91"/>
  <c r="H75" i="91"/>
  <c r="H74" i="91"/>
  <c r="H73" i="91"/>
  <c r="H72" i="91"/>
  <c r="H71" i="91"/>
  <c r="H70" i="91"/>
  <c r="H69" i="91"/>
  <c r="H68" i="91"/>
  <c r="H67" i="91"/>
  <c r="H66" i="91"/>
  <c r="H65" i="91"/>
  <c r="H64" i="91"/>
  <c r="H63" i="91"/>
  <c r="H62" i="91"/>
  <c r="H61" i="91"/>
  <c r="H60" i="91"/>
  <c r="H59" i="91"/>
  <c r="H58" i="91"/>
  <c r="H57" i="91"/>
  <c r="H56" i="91"/>
  <c r="F55" i="91"/>
  <c r="H55" i="91" s="1"/>
  <c r="H54" i="91"/>
  <c r="H53" i="91"/>
  <c r="H52" i="91"/>
  <c r="H51" i="91"/>
  <c r="H50" i="91"/>
  <c r="H49" i="91"/>
  <c r="H48" i="91"/>
  <c r="H47" i="91"/>
  <c r="H46" i="91"/>
  <c r="H45" i="91"/>
  <c r="H44" i="91"/>
  <c r="H43" i="91"/>
  <c r="H42" i="91"/>
  <c r="H41" i="91"/>
  <c r="H40" i="91"/>
  <c r="H39" i="91"/>
  <c r="H38" i="91"/>
  <c r="H37" i="91"/>
  <c r="H36" i="91"/>
  <c r="H35" i="91"/>
  <c r="H34" i="91"/>
  <c r="H33" i="91"/>
  <c r="H32" i="91"/>
  <c r="H31" i="91"/>
  <c r="H30" i="91"/>
  <c r="H29" i="91"/>
  <c r="H28" i="91"/>
  <c r="H27" i="91"/>
  <c r="H26" i="91"/>
  <c r="H25" i="91"/>
  <c r="H24" i="91"/>
  <c r="H23" i="91"/>
  <c r="H22" i="91"/>
  <c r="H21" i="91"/>
  <c r="H20" i="91"/>
  <c r="H19" i="91"/>
  <c r="H18" i="91"/>
  <c r="H17" i="91"/>
  <c r="H16" i="91"/>
  <c r="H15" i="91"/>
  <c r="H14" i="91"/>
  <c r="H13" i="91"/>
  <c r="H12" i="91"/>
  <c r="H11" i="91"/>
  <c r="J4" i="91"/>
  <c r="G3" i="90"/>
  <c r="H78" i="90"/>
  <c r="H77" i="90"/>
  <c r="H76" i="90"/>
  <c r="H75" i="90"/>
  <c r="H74" i="90"/>
  <c r="H73" i="90"/>
  <c r="H72" i="90"/>
  <c r="H71" i="90"/>
  <c r="H70" i="90"/>
  <c r="H69" i="90"/>
  <c r="H68" i="90"/>
  <c r="H67" i="90"/>
  <c r="H66" i="90"/>
  <c r="H65" i="90"/>
  <c r="H64" i="90"/>
  <c r="H63" i="90"/>
  <c r="H62" i="90"/>
  <c r="H61" i="90"/>
  <c r="H60" i="90"/>
  <c r="H59" i="90"/>
  <c r="H58" i="90"/>
  <c r="H57" i="90"/>
  <c r="H56" i="90"/>
  <c r="F55" i="90"/>
  <c r="H55" i="90" s="1"/>
  <c r="H54" i="90"/>
  <c r="H53" i="90"/>
  <c r="H52" i="90"/>
  <c r="H51" i="90"/>
  <c r="H50" i="90"/>
  <c r="H49" i="90"/>
  <c r="H48" i="90"/>
  <c r="H47" i="90"/>
  <c r="H46" i="90"/>
  <c r="H45" i="90"/>
  <c r="H44" i="90"/>
  <c r="H43" i="90"/>
  <c r="H42" i="90"/>
  <c r="H41" i="90"/>
  <c r="H40" i="90"/>
  <c r="H39" i="90"/>
  <c r="H38" i="90"/>
  <c r="H37" i="90"/>
  <c r="H36" i="90"/>
  <c r="H35" i="90"/>
  <c r="H34" i="90"/>
  <c r="H33" i="90"/>
  <c r="H32" i="90"/>
  <c r="H31" i="90"/>
  <c r="H30" i="90"/>
  <c r="H29" i="90"/>
  <c r="H28" i="90"/>
  <c r="H27" i="90"/>
  <c r="H26" i="90"/>
  <c r="H25" i="90"/>
  <c r="H24" i="90"/>
  <c r="H23" i="90"/>
  <c r="H22" i="90"/>
  <c r="H21" i="90"/>
  <c r="H20" i="90"/>
  <c r="H19" i="90"/>
  <c r="H18" i="90"/>
  <c r="H17" i="90"/>
  <c r="H16" i="90"/>
  <c r="H15" i="90"/>
  <c r="H14" i="90"/>
  <c r="H13" i="90"/>
  <c r="H12" i="90"/>
  <c r="H11" i="90"/>
  <c r="J4" i="90"/>
  <c r="G4" i="90"/>
  <c r="F4" i="90"/>
  <c r="J3" i="80"/>
  <c r="G3" i="80"/>
  <c r="F3" i="80"/>
  <c r="H77" i="80"/>
  <c r="H76" i="80"/>
  <c r="H75" i="80"/>
  <c r="H74" i="80"/>
  <c r="H73" i="80"/>
  <c r="H72" i="80"/>
  <c r="H71" i="80"/>
  <c r="H70" i="80"/>
  <c r="H69" i="80"/>
  <c r="H68" i="80"/>
  <c r="H67" i="80"/>
  <c r="H66" i="80"/>
  <c r="H65" i="80"/>
  <c r="H64" i="80"/>
  <c r="H63" i="80"/>
  <c r="H62" i="80"/>
  <c r="H61" i="80"/>
  <c r="H60" i="80"/>
  <c r="H59" i="80"/>
  <c r="H58" i="80"/>
  <c r="H57" i="80"/>
  <c r="H56" i="80"/>
  <c r="H55" i="80"/>
  <c r="F54" i="80"/>
  <c r="H54" i="80" s="1"/>
  <c r="H53" i="80"/>
  <c r="H52" i="80"/>
  <c r="H51" i="80"/>
  <c r="H50" i="80"/>
  <c r="H49" i="80"/>
  <c r="H48" i="80"/>
  <c r="H47" i="80"/>
  <c r="H46" i="80"/>
  <c r="H45" i="80"/>
  <c r="H44" i="80"/>
  <c r="H43" i="80"/>
  <c r="H42" i="80"/>
  <c r="H41" i="80"/>
  <c r="H40" i="80"/>
  <c r="H39" i="80"/>
  <c r="H38" i="80"/>
  <c r="H37" i="80"/>
  <c r="H36" i="80"/>
  <c r="H35" i="80"/>
  <c r="H34" i="80"/>
  <c r="H33" i="80"/>
  <c r="H32" i="80"/>
  <c r="H31" i="80"/>
  <c r="H30" i="80"/>
  <c r="H29" i="80"/>
  <c r="H28" i="80"/>
  <c r="H27" i="80"/>
  <c r="H26" i="80"/>
  <c r="H25" i="80"/>
  <c r="H24" i="80"/>
  <c r="H23" i="80"/>
  <c r="H22" i="80"/>
  <c r="H21" i="80"/>
  <c r="H20" i="80"/>
  <c r="H19" i="80"/>
  <c r="H18" i="80"/>
  <c r="H17" i="80"/>
  <c r="H16" i="80"/>
  <c r="H15" i="80"/>
  <c r="H14" i="80"/>
  <c r="H13" i="80"/>
  <c r="H12" i="80"/>
  <c r="H11" i="80"/>
  <c r="H10" i="80"/>
  <c r="D38" i="89"/>
  <c r="B5" i="89"/>
  <c r="E11" i="79"/>
  <c r="C11" i="79"/>
  <c r="B7" i="79"/>
  <c r="D51" i="79" s="1"/>
  <c r="E17" i="88"/>
  <c r="E10" i="88"/>
  <c r="E11" i="88"/>
  <c r="E19" i="88"/>
  <c r="E8" i="88"/>
  <c r="E14" i="88"/>
  <c r="E5" i="88"/>
  <c r="E6" i="88"/>
  <c r="E4" i="88"/>
  <c r="E9" i="88"/>
  <c r="E16" i="88"/>
  <c r="E15" i="88"/>
  <c r="E20" i="88"/>
  <c r="E18" i="88"/>
  <c r="E7" i="88"/>
  <c r="E12" i="88"/>
  <c r="E21" i="88"/>
  <c r="E13" i="88"/>
  <c r="D21" i="88"/>
  <c r="D12" i="88"/>
  <c r="D7" i="88"/>
  <c r="D18" i="88"/>
  <c r="D20" i="88"/>
  <c r="D15" i="88"/>
  <c r="D16" i="88"/>
  <c r="D9" i="88"/>
  <c r="H13" i="88"/>
  <c r="D4" i="88"/>
  <c r="H12" i="88"/>
  <c r="D6" i="88"/>
  <c r="H11" i="88"/>
  <c r="D5" i="88"/>
  <c r="H10" i="88"/>
  <c r="D14" i="88"/>
  <c r="H9" i="88"/>
  <c r="D8" i="88"/>
  <c r="H8" i="88"/>
  <c r="D19" i="88"/>
  <c r="H7" i="88"/>
  <c r="D11" i="88"/>
  <c r="H6" i="88"/>
  <c r="D10" i="88"/>
  <c r="H5" i="88"/>
  <c r="D17" i="88"/>
  <c r="H4" i="88"/>
  <c r="D13" i="88"/>
  <c r="D4" i="78"/>
  <c r="D9" i="78"/>
  <c r="D16" i="78"/>
  <c r="D15" i="78"/>
  <c r="D20" i="78"/>
  <c r="D18" i="78"/>
  <c r="D7" i="78"/>
  <c r="D12" i="78"/>
  <c r="G4" i="78"/>
  <c r="G5" i="78"/>
  <c r="G6" i="78"/>
  <c r="G7" i="78"/>
  <c r="G8" i="78"/>
  <c r="G9" i="78"/>
  <c r="G10" i="78"/>
  <c r="G11" i="78"/>
  <c r="G12" i="78"/>
  <c r="G13" i="78"/>
  <c r="D13" i="78"/>
  <c r="D17" i="78"/>
  <c r="D10" i="78"/>
  <c r="D11" i="78"/>
  <c r="D19" i="78"/>
  <c r="D8" i="78"/>
  <c r="D14" i="78"/>
  <c r="D5" i="78"/>
  <c r="D6" i="78"/>
  <c r="D21" i="78"/>
  <c r="G3" i="77"/>
  <c r="I3" i="77"/>
  <c r="J3" i="77"/>
  <c r="H79" i="77"/>
  <c r="H78" i="77"/>
  <c r="H77" i="77"/>
  <c r="H76" i="77"/>
  <c r="H75" i="77"/>
  <c r="H74" i="77"/>
  <c r="H73" i="77"/>
  <c r="H72" i="77"/>
  <c r="H71" i="77"/>
  <c r="H70" i="77"/>
  <c r="H69" i="77"/>
  <c r="H68" i="77"/>
  <c r="H67" i="77"/>
  <c r="H66" i="77"/>
  <c r="H65" i="77"/>
  <c r="H64" i="77"/>
  <c r="H63" i="77"/>
  <c r="H62" i="77"/>
  <c r="H61" i="77"/>
  <c r="H60" i="77"/>
  <c r="H59" i="77"/>
  <c r="H58" i="77"/>
  <c r="H57" i="77"/>
  <c r="F56" i="77"/>
  <c r="H56" i="77" s="1"/>
  <c r="H55" i="77"/>
  <c r="H54" i="77"/>
  <c r="H53" i="77"/>
  <c r="H52" i="77"/>
  <c r="H51" i="77"/>
  <c r="H50" i="77"/>
  <c r="H49" i="77"/>
  <c r="H48" i="77"/>
  <c r="H47" i="77"/>
  <c r="H46" i="77"/>
  <c r="H45" i="77"/>
  <c r="H44" i="77"/>
  <c r="H43" i="77"/>
  <c r="H42" i="77"/>
  <c r="H41" i="77"/>
  <c r="H40" i="77"/>
  <c r="H39" i="77"/>
  <c r="H38" i="77"/>
  <c r="H37" i="77"/>
  <c r="H36" i="77"/>
  <c r="H35" i="77"/>
  <c r="H34" i="77"/>
  <c r="H33" i="77"/>
  <c r="H32" i="77"/>
  <c r="H31" i="77"/>
  <c r="H30" i="77"/>
  <c r="H29" i="77"/>
  <c r="H28" i="77"/>
  <c r="H27" i="77"/>
  <c r="H26" i="77"/>
  <c r="H25" i="77"/>
  <c r="H24" i="77"/>
  <c r="H23" i="77"/>
  <c r="H22" i="77"/>
  <c r="H21" i="77"/>
  <c r="H20" i="77"/>
  <c r="H19" i="77"/>
  <c r="H18" i="77"/>
  <c r="H17" i="77"/>
  <c r="H16" i="77"/>
  <c r="H15" i="77"/>
  <c r="H14" i="77"/>
  <c r="H13" i="77"/>
  <c r="H3" i="77" s="1"/>
  <c r="H12" i="77"/>
  <c r="J6" i="77"/>
  <c r="I6" i="77"/>
  <c r="G6" i="77"/>
  <c r="J5" i="77"/>
  <c r="I5" i="77"/>
  <c r="G5" i="77"/>
  <c r="J4" i="77"/>
  <c r="I4" i="77"/>
  <c r="G4" i="77"/>
  <c r="G3" i="76"/>
  <c r="I3" i="76"/>
  <c r="J3" i="76"/>
  <c r="H78" i="76"/>
  <c r="H77" i="76"/>
  <c r="H76" i="76"/>
  <c r="H75" i="76"/>
  <c r="H74" i="76"/>
  <c r="H73" i="76"/>
  <c r="H72" i="76"/>
  <c r="H71" i="76"/>
  <c r="H70" i="76"/>
  <c r="H69" i="76"/>
  <c r="H68" i="76"/>
  <c r="H67" i="76"/>
  <c r="H66" i="76"/>
  <c r="H65" i="76"/>
  <c r="H64" i="76"/>
  <c r="H63" i="76"/>
  <c r="H62" i="76"/>
  <c r="H61" i="76"/>
  <c r="H60" i="76"/>
  <c r="H59" i="76"/>
  <c r="H58" i="76"/>
  <c r="H57" i="76"/>
  <c r="H56" i="76"/>
  <c r="F55" i="76"/>
  <c r="H55" i="76" s="1"/>
  <c r="H54" i="76"/>
  <c r="H53" i="76"/>
  <c r="H52" i="76"/>
  <c r="H51" i="76"/>
  <c r="H50" i="76"/>
  <c r="H49" i="76"/>
  <c r="H48" i="76"/>
  <c r="H47" i="76"/>
  <c r="H46" i="76"/>
  <c r="H45" i="76"/>
  <c r="H44" i="76"/>
  <c r="H43" i="76"/>
  <c r="H42" i="76"/>
  <c r="H41" i="76"/>
  <c r="H40" i="76"/>
  <c r="H39" i="76"/>
  <c r="H38" i="76"/>
  <c r="H37" i="76"/>
  <c r="H36" i="76"/>
  <c r="H35" i="76"/>
  <c r="H34" i="76"/>
  <c r="H33" i="76"/>
  <c r="H32" i="76"/>
  <c r="H31" i="76"/>
  <c r="H30" i="76"/>
  <c r="H29" i="76"/>
  <c r="H28" i="76"/>
  <c r="H27" i="76"/>
  <c r="H26" i="76"/>
  <c r="H25" i="76"/>
  <c r="H24" i="76"/>
  <c r="H23" i="76"/>
  <c r="H22" i="76"/>
  <c r="H21" i="76"/>
  <c r="H20" i="76"/>
  <c r="H19" i="76"/>
  <c r="H18" i="76"/>
  <c r="H17" i="76"/>
  <c r="H16" i="76"/>
  <c r="H15" i="76"/>
  <c r="H14" i="76"/>
  <c r="H13" i="76"/>
  <c r="H12" i="76"/>
  <c r="H11" i="76"/>
  <c r="J5" i="76"/>
  <c r="I5" i="76"/>
  <c r="G5" i="76"/>
  <c r="J4" i="76"/>
  <c r="I4" i="76"/>
  <c r="G4" i="76"/>
  <c r="G3" i="87"/>
  <c r="I3" i="87"/>
  <c r="J3" i="87"/>
  <c r="G4" i="87"/>
  <c r="I4" i="87"/>
  <c r="J4" i="87"/>
  <c r="H77" i="87"/>
  <c r="H76" i="87"/>
  <c r="H75" i="87"/>
  <c r="H74" i="87"/>
  <c r="H73" i="87"/>
  <c r="H72" i="87"/>
  <c r="H71" i="87"/>
  <c r="H70" i="87"/>
  <c r="H69" i="87"/>
  <c r="H68" i="87"/>
  <c r="H67" i="87"/>
  <c r="H66" i="87"/>
  <c r="H65" i="87"/>
  <c r="H64" i="87"/>
  <c r="H63" i="87"/>
  <c r="H62" i="87"/>
  <c r="H61" i="87"/>
  <c r="H60" i="87"/>
  <c r="H59" i="87"/>
  <c r="H58" i="87"/>
  <c r="H57" i="87"/>
  <c r="H56" i="87"/>
  <c r="H55" i="87"/>
  <c r="F54" i="87"/>
  <c r="H53" i="87"/>
  <c r="H52" i="87"/>
  <c r="H51" i="87"/>
  <c r="H50" i="87"/>
  <c r="H49" i="87"/>
  <c r="H48" i="87"/>
  <c r="H47" i="87"/>
  <c r="H46" i="87"/>
  <c r="H4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H75" i="75"/>
  <c r="H74" i="75"/>
  <c r="H73" i="75"/>
  <c r="H72" i="75"/>
  <c r="H71" i="75"/>
  <c r="H70" i="75"/>
  <c r="H69" i="75"/>
  <c r="H68" i="75"/>
  <c r="H67" i="75"/>
  <c r="H66" i="75"/>
  <c r="H65" i="75"/>
  <c r="H64" i="75"/>
  <c r="H63" i="75"/>
  <c r="H62" i="75"/>
  <c r="H61" i="75"/>
  <c r="H60" i="75"/>
  <c r="H59" i="75"/>
  <c r="H58" i="75"/>
  <c r="H57" i="75"/>
  <c r="H56" i="75"/>
  <c r="H55" i="75"/>
  <c r="H54" i="75"/>
  <c r="H53" i="75"/>
  <c r="F52" i="75"/>
  <c r="H52" i="75" s="1"/>
  <c r="H51" i="75"/>
  <c r="H50" i="75"/>
  <c r="H49" i="75"/>
  <c r="H48" i="75"/>
  <c r="H47" i="75"/>
  <c r="H46" i="75"/>
  <c r="H45" i="75"/>
  <c r="H44" i="75"/>
  <c r="H43" i="75"/>
  <c r="H42" i="75"/>
  <c r="H41" i="75"/>
  <c r="H40" i="75"/>
  <c r="H39" i="75"/>
  <c r="H38" i="75"/>
  <c r="H37" i="75"/>
  <c r="H36" i="75"/>
  <c r="H35" i="75"/>
  <c r="H34" i="75"/>
  <c r="H33" i="75"/>
  <c r="H32" i="75"/>
  <c r="H31" i="75"/>
  <c r="H30" i="75"/>
  <c r="H29" i="75"/>
  <c r="H28" i="75"/>
  <c r="H27" i="75"/>
  <c r="H26" i="75"/>
  <c r="H25" i="75"/>
  <c r="H24" i="75"/>
  <c r="H23" i="75"/>
  <c r="H22" i="75"/>
  <c r="H21" i="75"/>
  <c r="H20" i="75"/>
  <c r="H19" i="75"/>
  <c r="H18" i="75"/>
  <c r="H17" i="75"/>
  <c r="H16" i="75"/>
  <c r="H15" i="75"/>
  <c r="H14" i="75"/>
  <c r="H13" i="75"/>
  <c r="H12" i="75"/>
  <c r="H11" i="75"/>
  <c r="H10" i="75"/>
  <c r="H9" i="75"/>
  <c r="H8" i="75"/>
  <c r="E2" i="75"/>
  <c r="H75" i="86"/>
  <c r="H74" i="86"/>
  <c r="H73" i="86"/>
  <c r="H72" i="86"/>
  <c r="H71" i="86"/>
  <c r="H70" i="86"/>
  <c r="H69" i="86"/>
  <c r="H68" i="86"/>
  <c r="H67" i="86"/>
  <c r="H66" i="86"/>
  <c r="H65" i="86"/>
  <c r="H64" i="86"/>
  <c r="H63" i="86"/>
  <c r="H62" i="86"/>
  <c r="H61" i="86"/>
  <c r="H60" i="86"/>
  <c r="H59" i="86"/>
  <c r="H58" i="86"/>
  <c r="H57" i="86"/>
  <c r="H56" i="86"/>
  <c r="H55" i="86"/>
  <c r="H54" i="86"/>
  <c r="H53" i="86"/>
  <c r="F52" i="86"/>
  <c r="H52" i="86" s="1"/>
  <c r="H51" i="86"/>
  <c r="H50" i="86"/>
  <c r="H49" i="86"/>
  <c r="H48" i="86"/>
  <c r="H47" i="86"/>
  <c r="H46" i="86"/>
  <c r="H45" i="86"/>
  <c r="H44" i="86"/>
  <c r="H43" i="86"/>
  <c r="H42" i="86"/>
  <c r="H41" i="86"/>
  <c r="H40" i="86"/>
  <c r="H39" i="86"/>
  <c r="H38" i="86"/>
  <c r="H37" i="86"/>
  <c r="H36" i="86"/>
  <c r="H35" i="86"/>
  <c r="H34" i="86"/>
  <c r="H33" i="86"/>
  <c r="H32" i="86"/>
  <c r="H31" i="86"/>
  <c r="H30" i="86"/>
  <c r="H29" i="86"/>
  <c r="H28" i="86"/>
  <c r="H27" i="86"/>
  <c r="H26" i="86"/>
  <c r="H25" i="86"/>
  <c r="H24" i="86"/>
  <c r="H23" i="86"/>
  <c r="H22" i="86"/>
  <c r="H21" i="86"/>
  <c r="H20" i="86"/>
  <c r="H19" i="86"/>
  <c r="H18" i="86"/>
  <c r="H17" i="86"/>
  <c r="H16" i="86"/>
  <c r="H15" i="86"/>
  <c r="H14" i="86"/>
  <c r="H13" i="86"/>
  <c r="H12" i="86"/>
  <c r="H11" i="86"/>
  <c r="H10" i="86"/>
  <c r="H9" i="86"/>
  <c r="H8" i="86"/>
  <c r="E2" i="86"/>
  <c r="I2" i="74"/>
  <c r="J2" i="74"/>
  <c r="G2" i="74"/>
  <c r="H69" i="74"/>
  <c r="H58" i="74"/>
  <c r="H70" i="74"/>
  <c r="H53" i="74"/>
  <c r="H62" i="74"/>
  <c r="H73" i="74"/>
  <c r="H60" i="74"/>
  <c r="H66" i="74"/>
  <c r="H74" i="74"/>
  <c r="H68" i="74"/>
  <c r="H56" i="74"/>
  <c r="H55" i="74"/>
  <c r="H71" i="74"/>
  <c r="H65" i="74"/>
  <c r="H61" i="74"/>
  <c r="H72" i="74"/>
  <c r="H75" i="74"/>
  <c r="H63" i="74"/>
  <c r="H57" i="74"/>
  <c r="H64" i="74"/>
  <c r="H54" i="74"/>
  <c r="H67" i="74"/>
  <c r="H59" i="74"/>
  <c r="F52" i="74"/>
  <c r="F2" i="74" s="1"/>
  <c r="H51" i="74"/>
  <c r="H41" i="74"/>
  <c r="H47" i="74"/>
  <c r="H48" i="74"/>
  <c r="H44" i="74"/>
  <c r="H50" i="74"/>
  <c r="H49" i="74"/>
  <c r="H42" i="74"/>
  <c r="H39" i="74"/>
  <c r="H46" i="74"/>
  <c r="H43" i="74"/>
  <c r="H40" i="74"/>
  <c r="H45" i="74"/>
  <c r="H38" i="74"/>
  <c r="H35" i="74"/>
  <c r="H31" i="74"/>
  <c r="H37" i="74"/>
  <c r="H30" i="74"/>
  <c r="H21" i="74"/>
  <c r="H28" i="74"/>
  <c r="H34" i="74"/>
  <c r="H22" i="74"/>
  <c r="H32" i="74"/>
  <c r="H26" i="74"/>
  <c r="H25" i="74"/>
  <c r="H33" i="74"/>
  <c r="H23" i="74"/>
  <c r="H27" i="74"/>
  <c r="H29" i="74"/>
  <c r="H36" i="74"/>
  <c r="H24" i="74"/>
  <c r="H9" i="74"/>
  <c r="H17" i="74"/>
  <c r="H10" i="74"/>
  <c r="H18" i="74"/>
  <c r="H20" i="74"/>
  <c r="H19" i="74"/>
  <c r="H15" i="74"/>
  <c r="H12" i="74"/>
  <c r="H14" i="74"/>
  <c r="H8" i="74"/>
  <c r="H13" i="74"/>
  <c r="H11" i="74"/>
  <c r="H16" i="74"/>
  <c r="I9" i="84"/>
  <c r="H9" i="84"/>
  <c r="G9" i="84"/>
  <c r="F9" i="84"/>
  <c r="I8" i="84"/>
  <c r="H8" i="84"/>
  <c r="G8" i="84"/>
  <c r="F8" i="84"/>
  <c r="I7" i="84"/>
  <c r="H7" i="84"/>
  <c r="G7" i="84"/>
  <c r="F7" i="84"/>
  <c r="I6" i="84"/>
  <c r="H6" i="84"/>
  <c r="G6" i="84"/>
  <c r="F6" i="84"/>
  <c r="I5" i="84"/>
  <c r="H5" i="84"/>
  <c r="G5" i="84"/>
  <c r="F5" i="84"/>
  <c r="I4" i="84"/>
  <c r="H4" i="84"/>
  <c r="G4" i="84"/>
  <c r="F4" i="84"/>
  <c r="I9" i="73"/>
  <c r="H9" i="73"/>
  <c r="G9" i="73"/>
  <c r="F9" i="73"/>
  <c r="I8" i="73"/>
  <c r="H8" i="73"/>
  <c r="G8" i="73"/>
  <c r="F8" i="73"/>
  <c r="I7" i="73"/>
  <c r="H7" i="73"/>
  <c r="G7" i="73"/>
  <c r="F7" i="73"/>
  <c r="I6" i="73"/>
  <c r="H6" i="73"/>
  <c r="G6" i="73"/>
  <c r="F6" i="73"/>
  <c r="I5" i="73"/>
  <c r="H5" i="73"/>
  <c r="G5" i="73"/>
  <c r="F5" i="73"/>
  <c r="I4" i="73"/>
  <c r="H4" i="73"/>
  <c r="G4" i="73"/>
  <c r="F4" i="73"/>
  <c r="I29" i="11"/>
  <c r="I28" i="11"/>
  <c r="I27" i="11"/>
  <c r="I26" i="11"/>
  <c r="I21" i="11"/>
  <c r="I20" i="11"/>
  <c r="I19" i="11"/>
  <c r="I18" i="11"/>
  <c r="B24" i="12"/>
  <c r="B23" i="12"/>
  <c r="B22" i="12"/>
  <c r="B20" i="12"/>
  <c r="B13" i="12"/>
  <c r="B12" i="12"/>
  <c r="B11" i="12"/>
  <c r="B9" i="12"/>
  <c r="F13" i="59"/>
  <c r="F12" i="59"/>
  <c r="F11" i="59"/>
  <c r="F10" i="59"/>
  <c r="F9" i="59"/>
  <c r="F8" i="59"/>
  <c r="F7" i="59"/>
  <c r="F6" i="59"/>
  <c r="E13" i="32"/>
  <c r="E12" i="32"/>
  <c r="E11" i="32"/>
  <c r="E10" i="32"/>
  <c r="E9" i="32"/>
  <c r="E8" i="32"/>
  <c r="E7" i="32"/>
  <c r="E6" i="32"/>
  <c r="J7" i="48"/>
  <c r="I7" i="48"/>
  <c r="E3" i="48" s="1"/>
  <c r="H7" i="48"/>
  <c r="G7" i="48"/>
  <c r="F7" i="48"/>
  <c r="E7" i="48"/>
  <c r="D7" i="48"/>
  <c r="C7" i="48"/>
  <c r="F4" i="33"/>
  <c r="G18" i="16"/>
  <c r="E18" i="16"/>
  <c r="K17" i="16"/>
  <c r="K16" i="16" s="1"/>
  <c r="I17" i="16"/>
  <c r="G17" i="16"/>
  <c r="E17" i="16"/>
  <c r="E16" i="16" s="1"/>
  <c r="I16" i="16"/>
  <c r="G16" i="16"/>
  <c r="D12" i="22"/>
  <c r="D11" i="22"/>
  <c r="D10" i="22"/>
  <c r="D9" i="22"/>
  <c r="D8" i="22"/>
  <c r="D7" i="22"/>
  <c r="D6" i="22"/>
  <c r="D14" i="22"/>
  <c r="D13" i="22"/>
  <c r="K18" i="16"/>
  <c r="I18" i="16"/>
  <c r="E18" i="47"/>
  <c r="K7" i="48"/>
  <c r="E15" i="32"/>
  <c r="E14" i="32"/>
  <c r="F21" i="59"/>
  <c r="F20" i="59"/>
  <c r="F19" i="59"/>
  <c r="F18" i="59"/>
  <c r="F17" i="59"/>
  <c r="F16" i="59"/>
  <c r="F15" i="59"/>
  <c r="F14" i="59"/>
  <c r="B26" i="12"/>
  <c r="B25" i="12"/>
  <c r="I41" i="11"/>
  <c r="I40" i="11"/>
  <c r="I39" i="11"/>
  <c r="I42" i="11" s="1"/>
  <c r="L28" i="72"/>
  <c r="L10" i="72"/>
  <c r="L11" i="72"/>
  <c r="L15" i="72"/>
  <c r="L16" i="72"/>
  <c r="L23" i="72"/>
  <c r="L24" i="72"/>
  <c r="L27" i="72"/>
  <c r="L30" i="72"/>
  <c r="L31" i="72"/>
  <c r="L34" i="72"/>
  <c r="L35" i="72"/>
  <c r="L36" i="72"/>
  <c r="L37" i="72"/>
  <c r="L38" i="72"/>
  <c r="L39" i="72"/>
  <c r="L42" i="72"/>
  <c r="L46" i="72"/>
  <c r="L47" i="72"/>
  <c r="L51" i="72"/>
  <c r="L54" i="72"/>
  <c r="L62" i="72"/>
  <c r="L63" i="72"/>
  <c r="L64" i="72"/>
  <c r="L65" i="72"/>
  <c r="L68" i="72"/>
  <c r="L9" i="72"/>
  <c r="K12" i="72"/>
  <c r="K17" i="72"/>
  <c r="L17" i="72" s="1"/>
  <c r="K25" i="72"/>
  <c r="L25" i="72" s="1"/>
  <c r="K32" i="72"/>
  <c r="L32" i="72" s="1"/>
  <c r="K43" i="72"/>
  <c r="K48" i="72"/>
  <c r="L48" i="72" s="1"/>
  <c r="K52" i="72"/>
  <c r="L52" i="72" s="1"/>
  <c r="K65" i="72"/>
  <c r="K69" i="72"/>
  <c r="L69" i="72" s="1"/>
  <c r="J69" i="72"/>
  <c r="I69" i="72"/>
  <c r="H69" i="72"/>
  <c r="G69" i="72"/>
  <c r="J65" i="72"/>
  <c r="J71" i="72" s="1"/>
  <c r="I65" i="72"/>
  <c r="I71" i="72" s="1"/>
  <c r="H65" i="72"/>
  <c r="G65" i="72"/>
  <c r="G71" i="72" s="1"/>
  <c r="J52" i="72"/>
  <c r="I52" i="72"/>
  <c r="H52" i="72"/>
  <c r="G52" i="72"/>
  <c r="J48" i="72"/>
  <c r="I48" i="72"/>
  <c r="H48" i="72"/>
  <c r="G48" i="72"/>
  <c r="J43" i="72"/>
  <c r="I43" i="72"/>
  <c r="H43" i="72"/>
  <c r="G43" i="72"/>
  <c r="J32" i="72"/>
  <c r="I32" i="72"/>
  <c r="H32" i="72"/>
  <c r="G32" i="72"/>
  <c r="J25" i="72"/>
  <c r="I25" i="72"/>
  <c r="H25" i="72"/>
  <c r="H55" i="72" s="1"/>
  <c r="G25" i="72"/>
  <c r="J17" i="72"/>
  <c r="I17" i="72"/>
  <c r="H17" i="72"/>
  <c r="G17" i="72"/>
  <c r="J12" i="72"/>
  <c r="I12" i="72"/>
  <c r="H12" i="72"/>
  <c r="H19" i="72" s="1"/>
  <c r="G12" i="72"/>
  <c r="F5" i="68"/>
  <c r="F6" i="67"/>
  <c r="F3" i="66"/>
  <c r="F7" i="66" s="1"/>
  <c r="E2" i="65"/>
  <c r="F5" i="63"/>
  <c r="D5" i="62"/>
  <c r="D5" i="60"/>
  <c r="J6" i="71"/>
  <c r="J10" i="71"/>
  <c r="K6" i="71"/>
  <c r="E5" i="71"/>
  <c r="F5" i="71" s="1"/>
  <c r="G5" i="71" s="1"/>
  <c r="H5" i="71" s="1"/>
  <c r="E6" i="71"/>
  <c r="F6" i="71" s="1"/>
  <c r="G6" i="71" s="1"/>
  <c r="H6" i="71" s="1"/>
  <c r="E7" i="71"/>
  <c r="F7" i="71" s="1"/>
  <c r="G7" i="71" s="1"/>
  <c r="H7" i="71" s="1"/>
  <c r="E8" i="71"/>
  <c r="F8" i="71" s="1"/>
  <c r="G8" i="71" s="1"/>
  <c r="H8" i="71" s="1"/>
  <c r="E9" i="71"/>
  <c r="F9" i="71" s="1"/>
  <c r="G9" i="71" s="1"/>
  <c r="H9" i="71" s="1"/>
  <c r="E10" i="71"/>
  <c r="F10" i="71" s="1"/>
  <c r="G10" i="71" s="1"/>
  <c r="H10" i="71" s="1"/>
  <c r="B32" i="71"/>
  <c r="B33" i="71" s="1"/>
  <c r="B31" i="71"/>
  <c r="C5" i="71"/>
  <c r="K5" i="71" s="1"/>
  <c r="C6" i="71"/>
  <c r="C7" i="71"/>
  <c r="J7" i="71" s="1"/>
  <c r="C8" i="71"/>
  <c r="C9" i="71"/>
  <c r="C10" i="71"/>
  <c r="K10" i="71" s="1"/>
  <c r="C4" i="71"/>
  <c r="K4" i="71" s="1"/>
  <c r="C13" i="70"/>
  <c r="B14" i="70"/>
  <c r="J6" i="70" s="1"/>
  <c r="B15" i="70"/>
  <c r="C15" i="70" s="1"/>
  <c r="B16" i="70"/>
  <c r="C16" i="70" s="1"/>
  <c r="B17" i="70"/>
  <c r="C17" i="70" s="1"/>
  <c r="B18" i="70"/>
  <c r="C18" i="70" s="1"/>
  <c r="D9" i="70" s="1"/>
  <c r="B19" i="70"/>
  <c r="C19" i="70" s="1"/>
  <c r="B13" i="70"/>
  <c r="C5" i="70"/>
  <c r="C6" i="70"/>
  <c r="C7" i="70"/>
  <c r="C8" i="70"/>
  <c r="C9" i="70"/>
  <c r="C10" i="70"/>
  <c r="D10" i="70" s="1"/>
  <c r="C4" i="70"/>
  <c r="E4" i="71"/>
  <c r="F4" i="71" s="1"/>
  <c r="G4" i="71" s="1"/>
  <c r="H4" i="71" s="1"/>
  <c r="J10" i="70"/>
  <c r="C4" i="31"/>
  <c r="C8" i="31" s="1"/>
  <c r="G28" i="69"/>
  <c r="F7" i="69"/>
  <c r="G7" i="69" s="1"/>
  <c r="F8" i="69"/>
  <c r="G8" i="69" s="1"/>
  <c r="F9" i="69"/>
  <c r="G9" i="69" s="1"/>
  <c r="F10" i="69"/>
  <c r="G10" i="69" s="1"/>
  <c r="F11" i="69"/>
  <c r="G11" i="69" s="1"/>
  <c r="F12" i="69"/>
  <c r="G12" i="69" s="1"/>
  <c r="F13" i="69"/>
  <c r="G13" i="69" s="1"/>
  <c r="F14" i="69"/>
  <c r="G14" i="69" s="1"/>
  <c r="F15" i="69"/>
  <c r="G15" i="69" s="1"/>
  <c r="F16" i="69"/>
  <c r="G16" i="69" s="1"/>
  <c r="F17" i="69"/>
  <c r="G17" i="69" s="1"/>
  <c r="F18" i="69"/>
  <c r="G18" i="69" s="1"/>
  <c r="F19" i="69"/>
  <c r="G19" i="69" s="1"/>
  <c r="F20" i="69"/>
  <c r="G20" i="69" s="1"/>
  <c r="F21" i="69"/>
  <c r="G21" i="69" s="1"/>
  <c r="F22" i="69"/>
  <c r="G22" i="69" s="1"/>
  <c r="F23" i="69"/>
  <c r="G23" i="69" s="1"/>
  <c r="F24" i="69"/>
  <c r="G24" i="69" s="1"/>
  <c r="F25" i="69"/>
  <c r="G25" i="69" s="1"/>
  <c r="F26" i="69"/>
  <c r="G26" i="69" s="1"/>
  <c r="F27" i="69"/>
  <c r="G27" i="69" s="1"/>
  <c r="F28" i="69"/>
  <c r="F29" i="69"/>
  <c r="G29" i="69" s="1"/>
  <c r="F30" i="69"/>
  <c r="G30" i="69" s="1"/>
  <c r="F31" i="69"/>
  <c r="G31" i="69" s="1"/>
  <c r="F32" i="69"/>
  <c r="G32" i="69" s="1"/>
  <c r="F33" i="69"/>
  <c r="G33" i="69" s="1"/>
  <c r="F34" i="69"/>
  <c r="G34" i="69" s="1"/>
  <c r="F35" i="69"/>
  <c r="G35" i="69" s="1"/>
  <c r="F36" i="69"/>
  <c r="G36" i="69" s="1"/>
  <c r="F37" i="69"/>
  <c r="G37" i="69" s="1"/>
  <c r="F38" i="69"/>
  <c r="G38" i="69" s="1"/>
  <c r="F39" i="69"/>
  <c r="G39" i="69" s="1"/>
  <c r="F40" i="69"/>
  <c r="G40" i="69" s="1"/>
  <c r="F41" i="69"/>
  <c r="G41" i="69" s="1"/>
  <c r="F42" i="69"/>
  <c r="G42" i="69" s="1"/>
  <c r="F43" i="69"/>
  <c r="G43" i="69" s="1"/>
  <c r="F44" i="69"/>
  <c r="G44" i="69" s="1"/>
  <c r="F45" i="69"/>
  <c r="G45" i="69" s="1"/>
  <c r="F46" i="69"/>
  <c r="G46" i="69" s="1"/>
  <c r="F47" i="69"/>
  <c r="G47" i="69" s="1"/>
  <c r="F48" i="69"/>
  <c r="G48" i="69" s="1"/>
  <c r="F49" i="69"/>
  <c r="G49" i="69" s="1"/>
  <c r="F50" i="69"/>
  <c r="G50" i="69" s="1"/>
  <c r="F51" i="69"/>
  <c r="G51" i="69" s="1"/>
  <c r="F52" i="69"/>
  <c r="G52" i="69" s="1"/>
  <c r="F53" i="69"/>
  <c r="G53" i="69" s="1"/>
  <c r="F54" i="69"/>
  <c r="G54" i="69" s="1"/>
  <c r="F55" i="69"/>
  <c r="G55" i="69" s="1"/>
  <c r="F56" i="69"/>
  <c r="G56" i="69" s="1"/>
  <c r="F57" i="69"/>
  <c r="G57" i="69" s="1"/>
  <c r="F58" i="69"/>
  <c r="G58" i="69" s="1"/>
  <c r="F59" i="69"/>
  <c r="G59" i="69" s="1"/>
  <c r="F60" i="69"/>
  <c r="G60" i="69" s="1"/>
  <c r="F61" i="69"/>
  <c r="G61" i="69" s="1"/>
  <c r="F62" i="69"/>
  <c r="G62" i="69" s="1"/>
  <c r="F63" i="69"/>
  <c r="G63" i="69" s="1"/>
  <c r="F64" i="69"/>
  <c r="G64" i="69" s="1"/>
  <c r="F65" i="69"/>
  <c r="G65" i="69" s="1"/>
  <c r="F66" i="69"/>
  <c r="G66" i="69" s="1"/>
  <c r="F67" i="69"/>
  <c r="G67" i="69" s="1"/>
  <c r="F68" i="69"/>
  <c r="G68" i="69" s="1"/>
  <c r="F69" i="69"/>
  <c r="G69" i="69" s="1"/>
  <c r="F70" i="69"/>
  <c r="G70" i="69" s="1"/>
  <c r="F71" i="69"/>
  <c r="G71" i="69" s="1"/>
  <c r="F72" i="69"/>
  <c r="G72" i="69" s="1"/>
  <c r="F73" i="69"/>
  <c r="G73" i="69" s="1"/>
  <c r="F74" i="69"/>
  <c r="G74" i="69" s="1"/>
  <c r="F75" i="69"/>
  <c r="G75" i="69" s="1"/>
  <c r="F76" i="69"/>
  <c r="G76" i="69" s="1"/>
  <c r="F77" i="69"/>
  <c r="G77" i="69" s="1"/>
  <c r="F78" i="69"/>
  <c r="G78" i="69" s="1"/>
  <c r="F79" i="69"/>
  <c r="G79" i="69" s="1"/>
  <c r="F80" i="69"/>
  <c r="G80" i="69" s="1"/>
  <c r="F81" i="69"/>
  <c r="G81" i="69" s="1"/>
  <c r="F82" i="69"/>
  <c r="G82" i="69" s="1"/>
  <c r="F83" i="69"/>
  <c r="G83" i="69" s="1"/>
  <c r="F84" i="69"/>
  <c r="G84" i="69" s="1"/>
  <c r="F85" i="69"/>
  <c r="G85" i="69" s="1"/>
  <c r="F86" i="69"/>
  <c r="G86" i="69" s="1"/>
  <c r="F87" i="69"/>
  <c r="G87" i="69" s="1"/>
  <c r="F88" i="69"/>
  <c r="G88" i="69" s="1"/>
  <c r="F89" i="69"/>
  <c r="G89" i="69" s="1"/>
  <c r="F90" i="69"/>
  <c r="G90" i="69" s="1"/>
  <c r="F91" i="69"/>
  <c r="G91" i="69" s="1"/>
  <c r="F92" i="69"/>
  <c r="G92" i="69" s="1"/>
  <c r="F93" i="69"/>
  <c r="G93" i="69" s="1"/>
  <c r="F94" i="69"/>
  <c r="G94" i="69" s="1"/>
  <c r="F95" i="69"/>
  <c r="G95" i="69" s="1"/>
  <c r="F96" i="69"/>
  <c r="G96" i="69" s="1"/>
  <c r="F97" i="69"/>
  <c r="G97" i="69" s="1"/>
  <c r="F98" i="69"/>
  <c r="G98" i="69" s="1"/>
  <c r="F99" i="69"/>
  <c r="G99" i="69" s="1"/>
  <c r="F100" i="69"/>
  <c r="G100" i="69" s="1"/>
  <c r="F101" i="69"/>
  <c r="G101" i="69" s="1"/>
  <c r="F102" i="69"/>
  <c r="G102" i="69" s="1"/>
  <c r="F103" i="69"/>
  <c r="G103" i="69" s="1"/>
  <c r="F104" i="69"/>
  <c r="G104" i="69" s="1"/>
  <c r="F6" i="69"/>
  <c r="G6" i="69" s="1"/>
  <c r="F6" i="51"/>
  <c r="F7" i="51"/>
  <c r="F8" i="51"/>
  <c r="F9" i="51"/>
  <c r="F10" i="51"/>
  <c r="F11" i="51"/>
  <c r="F12" i="51"/>
  <c r="F13" i="51"/>
  <c r="F14" i="51"/>
  <c r="F15" i="51"/>
  <c r="F16" i="51"/>
  <c r="F17" i="51"/>
  <c r="F18" i="51"/>
  <c r="F19" i="51"/>
  <c r="F20" i="51"/>
  <c r="F5" i="51"/>
  <c r="G104" i="53"/>
  <c r="H104" i="53" s="1"/>
  <c r="G103" i="53"/>
  <c r="H103" i="53" s="1"/>
  <c r="H102" i="53"/>
  <c r="G102" i="53"/>
  <c r="G101" i="53"/>
  <c r="H101" i="53" s="1"/>
  <c r="H100" i="53"/>
  <c r="G100" i="53"/>
  <c r="G99" i="53"/>
  <c r="H99" i="53" s="1"/>
  <c r="G98" i="53"/>
  <c r="H98" i="53" s="1"/>
  <c r="G97" i="53"/>
  <c r="H97" i="53" s="1"/>
  <c r="G96" i="53"/>
  <c r="H96" i="53" s="1"/>
  <c r="G95" i="53"/>
  <c r="H95" i="53" s="1"/>
  <c r="G94" i="53"/>
  <c r="H94" i="53" s="1"/>
  <c r="G93" i="53"/>
  <c r="H93" i="53" s="1"/>
  <c r="G92" i="53"/>
  <c r="H92" i="53" s="1"/>
  <c r="G91" i="53"/>
  <c r="H91" i="53" s="1"/>
  <c r="G90" i="53"/>
  <c r="H90" i="53" s="1"/>
  <c r="G89" i="53"/>
  <c r="H89" i="53" s="1"/>
  <c r="G88" i="53"/>
  <c r="H88" i="53" s="1"/>
  <c r="G87" i="53"/>
  <c r="H87" i="53" s="1"/>
  <c r="G86" i="53"/>
  <c r="H86" i="53" s="1"/>
  <c r="G85" i="53"/>
  <c r="H85" i="53" s="1"/>
  <c r="G84" i="53"/>
  <c r="H84" i="53" s="1"/>
  <c r="G83" i="53"/>
  <c r="H83" i="53" s="1"/>
  <c r="G82" i="53"/>
  <c r="H82" i="53" s="1"/>
  <c r="G81" i="53"/>
  <c r="H81" i="53" s="1"/>
  <c r="G80" i="53"/>
  <c r="H80" i="53" s="1"/>
  <c r="G79" i="53"/>
  <c r="H79" i="53" s="1"/>
  <c r="H78" i="53"/>
  <c r="G78" i="53"/>
  <c r="G77" i="53"/>
  <c r="H77" i="53" s="1"/>
  <c r="G76" i="53"/>
  <c r="H76" i="53" s="1"/>
  <c r="G75" i="53"/>
  <c r="H75" i="53" s="1"/>
  <c r="G74" i="53"/>
  <c r="H74" i="53" s="1"/>
  <c r="G73" i="53"/>
  <c r="H73" i="53" s="1"/>
  <c r="H72" i="53"/>
  <c r="G72" i="53"/>
  <c r="G71" i="53"/>
  <c r="H71" i="53" s="1"/>
  <c r="G70" i="53"/>
  <c r="H70" i="53" s="1"/>
  <c r="G69" i="53"/>
  <c r="H69" i="53" s="1"/>
  <c r="G68" i="53"/>
  <c r="H68" i="53" s="1"/>
  <c r="G67" i="53"/>
  <c r="H67" i="53" s="1"/>
  <c r="G66" i="53"/>
  <c r="H66" i="53" s="1"/>
  <c r="G65" i="53"/>
  <c r="H65" i="53" s="1"/>
  <c r="H64" i="53"/>
  <c r="G64" i="53"/>
  <c r="G63" i="53"/>
  <c r="H63" i="53" s="1"/>
  <c r="H62" i="53"/>
  <c r="G62" i="53"/>
  <c r="G61" i="53"/>
  <c r="H61" i="53" s="1"/>
  <c r="G60" i="53"/>
  <c r="H60" i="53" s="1"/>
  <c r="G59" i="53"/>
  <c r="H59" i="53" s="1"/>
  <c r="G58" i="53"/>
  <c r="H58" i="53" s="1"/>
  <c r="G57" i="53"/>
  <c r="H57" i="53" s="1"/>
  <c r="G56" i="53"/>
  <c r="H56" i="53" s="1"/>
  <c r="G55" i="53"/>
  <c r="H55" i="53" s="1"/>
  <c r="G54" i="53"/>
  <c r="H54" i="53" s="1"/>
  <c r="G53" i="53"/>
  <c r="H53" i="53" s="1"/>
  <c r="G52" i="53"/>
  <c r="H52" i="53" s="1"/>
  <c r="G51" i="53"/>
  <c r="H51" i="53" s="1"/>
  <c r="G50" i="53"/>
  <c r="H50" i="53" s="1"/>
  <c r="G49" i="53"/>
  <c r="H49" i="53" s="1"/>
  <c r="G48" i="53"/>
  <c r="H48" i="53" s="1"/>
  <c r="G47" i="53"/>
  <c r="H47" i="53" s="1"/>
  <c r="G46" i="53"/>
  <c r="H46" i="53" s="1"/>
  <c r="G45" i="53"/>
  <c r="H45" i="53" s="1"/>
  <c r="G44" i="53"/>
  <c r="H44" i="53" s="1"/>
  <c r="G43" i="53"/>
  <c r="H43" i="53" s="1"/>
  <c r="G42" i="53"/>
  <c r="H42" i="53" s="1"/>
  <c r="G41" i="53"/>
  <c r="H41" i="53" s="1"/>
  <c r="H40" i="53"/>
  <c r="G40" i="53"/>
  <c r="G39" i="53"/>
  <c r="H39" i="53" s="1"/>
  <c r="G38" i="53"/>
  <c r="H38" i="53" s="1"/>
  <c r="G37" i="53"/>
  <c r="H37" i="53" s="1"/>
  <c r="G36" i="53"/>
  <c r="H36" i="53" s="1"/>
  <c r="G35" i="53"/>
  <c r="H35" i="53" s="1"/>
  <c r="G34" i="53"/>
  <c r="H34" i="53" s="1"/>
  <c r="G33" i="53"/>
  <c r="H33" i="53" s="1"/>
  <c r="H32" i="53"/>
  <c r="G32" i="53"/>
  <c r="G31" i="53"/>
  <c r="H31" i="53" s="1"/>
  <c r="H30" i="53"/>
  <c r="G30" i="53"/>
  <c r="G29" i="53"/>
  <c r="H29" i="53" s="1"/>
  <c r="G28" i="53"/>
  <c r="H28" i="53" s="1"/>
  <c r="G27" i="53"/>
  <c r="H27" i="53" s="1"/>
  <c r="G26" i="53"/>
  <c r="H26" i="53" s="1"/>
  <c r="G25" i="53"/>
  <c r="H25" i="53" s="1"/>
  <c r="G24" i="53"/>
  <c r="H24" i="53" s="1"/>
  <c r="G23" i="53"/>
  <c r="H23" i="53" s="1"/>
  <c r="G22" i="53"/>
  <c r="H22" i="53" s="1"/>
  <c r="G21" i="53"/>
  <c r="H21" i="53" s="1"/>
  <c r="G20" i="53"/>
  <c r="H20" i="53" s="1"/>
  <c r="G19" i="53"/>
  <c r="H19" i="53" s="1"/>
  <c r="G18" i="53"/>
  <c r="H18" i="53" s="1"/>
  <c r="G17" i="53"/>
  <c r="H17" i="53" s="1"/>
  <c r="G16" i="53"/>
  <c r="H16" i="53" s="1"/>
  <c r="G15" i="53"/>
  <c r="H15" i="53" s="1"/>
  <c r="G14" i="53"/>
  <c r="H14" i="53" s="1"/>
  <c r="G13" i="53"/>
  <c r="H13" i="53" s="1"/>
  <c r="G12" i="53"/>
  <c r="H12" i="53" s="1"/>
  <c r="G11" i="53"/>
  <c r="H11" i="53" s="1"/>
  <c r="G10" i="53"/>
  <c r="H10" i="53" s="1"/>
  <c r="G9" i="53"/>
  <c r="H9" i="53" s="1"/>
  <c r="H8" i="53"/>
  <c r="G8" i="53"/>
  <c r="G7" i="53"/>
  <c r="H7" i="53" s="1"/>
  <c r="G6" i="53"/>
  <c r="H6" i="53" s="1"/>
  <c r="F6" i="57"/>
  <c r="F7" i="57"/>
  <c r="F8" i="57"/>
  <c r="F9" i="57"/>
  <c r="F10" i="57"/>
  <c r="F11" i="57"/>
  <c r="F12" i="57"/>
  <c r="F13" i="57"/>
  <c r="F14" i="57"/>
  <c r="F15" i="57"/>
  <c r="F16" i="57"/>
  <c r="F17" i="57"/>
  <c r="F18" i="57"/>
  <c r="F19" i="57"/>
  <c r="F20" i="57"/>
  <c r="F5" i="57"/>
  <c r="C13" i="58"/>
  <c r="D13" i="58" s="1"/>
  <c r="C12" i="58"/>
  <c r="D12" i="58" s="1"/>
  <c r="C11" i="58"/>
  <c r="D11" i="58" s="1"/>
  <c r="C10" i="58"/>
  <c r="D10" i="58" s="1"/>
  <c r="C9" i="58"/>
  <c r="D9" i="58" s="1"/>
  <c r="C8" i="58"/>
  <c r="D8" i="58" s="1"/>
  <c r="C7" i="58"/>
  <c r="D7" i="58" s="1"/>
  <c r="H6" i="56"/>
  <c r="H10" i="56"/>
  <c r="H22" i="56"/>
  <c r="H25" i="56"/>
  <c r="H30" i="56"/>
  <c r="H33" i="56"/>
  <c r="H38" i="56"/>
  <c r="H41" i="56"/>
  <c r="H46" i="56"/>
  <c r="H51" i="56"/>
  <c r="H59" i="56"/>
  <c r="H62" i="56"/>
  <c r="H67" i="56"/>
  <c r="H75" i="56"/>
  <c r="H78" i="56"/>
  <c r="H82" i="56"/>
  <c r="H86" i="56"/>
  <c r="H87" i="56"/>
  <c r="H88" i="56"/>
  <c r="H94" i="56"/>
  <c r="H99" i="56"/>
  <c r="H100" i="56"/>
  <c r="H102" i="56"/>
  <c r="H5" i="56"/>
  <c r="G6" i="56"/>
  <c r="G7" i="56"/>
  <c r="H7" i="56" s="1"/>
  <c r="G8" i="56"/>
  <c r="H8" i="56" s="1"/>
  <c r="G9" i="56"/>
  <c r="H9" i="56" s="1"/>
  <c r="G10" i="56"/>
  <c r="G11" i="56"/>
  <c r="H11" i="56" s="1"/>
  <c r="G12" i="56"/>
  <c r="H12" i="56" s="1"/>
  <c r="G13" i="56"/>
  <c r="H13" i="56" s="1"/>
  <c r="G14" i="56"/>
  <c r="H14" i="56" s="1"/>
  <c r="G15" i="56"/>
  <c r="H15" i="56" s="1"/>
  <c r="G16" i="56"/>
  <c r="H16" i="56" s="1"/>
  <c r="G17" i="56"/>
  <c r="H17" i="56" s="1"/>
  <c r="G18" i="56"/>
  <c r="H18" i="56" s="1"/>
  <c r="G19" i="56"/>
  <c r="H19" i="56" s="1"/>
  <c r="G20" i="56"/>
  <c r="H20" i="56" s="1"/>
  <c r="G21" i="56"/>
  <c r="H21" i="56" s="1"/>
  <c r="G22" i="56"/>
  <c r="G23" i="56"/>
  <c r="H23" i="56" s="1"/>
  <c r="G24" i="56"/>
  <c r="H24" i="56" s="1"/>
  <c r="G25" i="56"/>
  <c r="G26" i="56"/>
  <c r="H26" i="56" s="1"/>
  <c r="G27" i="56"/>
  <c r="H27" i="56" s="1"/>
  <c r="G28" i="56"/>
  <c r="H28" i="56" s="1"/>
  <c r="G29" i="56"/>
  <c r="H29" i="56" s="1"/>
  <c r="G30" i="56"/>
  <c r="G31" i="56"/>
  <c r="H31" i="56" s="1"/>
  <c r="G32" i="56"/>
  <c r="H32" i="56" s="1"/>
  <c r="G33" i="56"/>
  <c r="G34" i="56"/>
  <c r="H34" i="56" s="1"/>
  <c r="G35" i="56"/>
  <c r="H35" i="56" s="1"/>
  <c r="G36" i="56"/>
  <c r="H36" i="56" s="1"/>
  <c r="G37" i="56"/>
  <c r="H37" i="56" s="1"/>
  <c r="G38" i="56"/>
  <c r="G39" i="56"/>
  <c r="H39" i="56" s="1"/>
  <c r="G40" i="56"/>
  <c r="H40" i="56" s="1"/>
  <c r="G41" i="56"/>
  <c r="G42" i="56"/>
  <c r="H42" i="56" s="1"/>
  <c r="G43" i="56"/>
  <c r="H43" i="56" s="1"/>
  <c r="G44" i="56"/>
  <c r="H44" i="56" s="1"/>
  <c r="G45" i="56"/>
  <c r="H45" i="56" s="1"/>
  <c r="G46" i="56"/>
  <c r="G47" i="56"/>
  <c r="H47" i="56" s="1"/>
  <c r="G48" i="56"/>
  <c r="H48" i="56" s="1"/>
  <c r="G49" i="56"/>
  <c r="H49" i="56" s="1"/>
  <c r="G50" i="56"/>
  <c r="H50" i="56" s="1"/>
  <c r="G51" i="56"/>
  <c r="G52" i="56"/>
  <c r="H52" i="56" s="1"/>
  <c r="G53" i="56"/>
  <c r="H53" i="56" s="1"/>
  <c r="G54" i="56"/>
  <c r="H54" i="56" s="1"/>
  <c r="G55" i="56"/>
  <c r="H55" i="56" s="1"/>
  <c r="G56" i="56"/>
  <c r="H56" i="56" s="1"/>
  <c r="G57" i="56"/>
  <c r="H57" i="56" s="1"/>
  <c r="G58" i="56"/>
  <c r="H58" i="56" s="1"/>
  <c r="G59" i="56"/>
  <c r="G60" i="56"/>
  <c r="H60" i="56" s="1"/>
  <c r="G61" i="56"/>
  <c r="H61" i="56" s="1"/>
  <c r="G62" i="56"/>
  <c r="G63" i="56"/>
  <c r="H63" i="56" s="1"/>
  <c r="G64" i="56"/>
  <c r="H64" i="56" s="1"/>
  <c r="G65" i="56"/>
  <c r="H65" i="56" s="1"/>
  <c r="G66" i="56"/>
  <c r="H66" i="56" s="1"/>
  <c r="G67" i="56"/>
  <c r="G68" i="56"/>
  <c r="H68" i="56" s="1"/>
  <c r="G69" i="56"/>
  <c r="H69" i="56" s="1"/>
  <c r="G70" i="56"/>
  <c r="H70" i="56" s="1"/>
  <c r="G71" i="56"/>
  <c r="H71" i="56" s="1"/>
  <c r="G72" i="56"/>
  <c r="H72" i="56" s="1"/>
  <c r="G73" i="56"/>
  <c r="H73" i="56" s="1"/>
  <c r="G74" i="56"/>
  <c r="H74" i="56" s="1"/>
  <c r="G75" i="56"/>
  <c r="G76" i="56"/>
  <c r="H76" i="56" s="1"/>
  <c r="G77" i="56"/>
  <c r="H77" i="56" s="1"/>
  <c r="G78" i="56"/>
  <c r="G79" i="56"/>
  <c r="H79" i="56" s="1"/>
  <c r="G80" i="56"/>
  <c r="H80" i="56" s="1"/>
  <c r="G81" i="56"/>
  <c r="H81" i="56" s="1"/>
  <c r="G82" i="56"/>
  <c r="G83" i="56"/>
  <c r="H83" i="56" s="1"/>
  <c r="G84" i="56"/>
  <c r="H84" i="56" s="1"/>
  <c r="G85" i="56"/>
  <c r="H85" i="56" s="1"/>
  <c r="G86" i="56"/>
  <c r="G87" i="56"/>
  <c r="G88" i="56"/>
  <c r="G89" i="56"/>
  <c r="H89" i="56" s="1"/>
  <c r="G90" i="56"/>
  <c r="H90" i="56" s="1"/>
  <c r="G91" i="56"/>
  <c r="H91" i="56" s="1"/>
  <c r="G92" i="56"/>
  <c r="H92" i="56" s="1"/>
  <c r="G93" i="56"/>
  <c r="H93" i="56" s="1"/>
  <c r="G94" i="56"/>
  <c r="G95" i="56"/>
  <c r="H95" i="56" s="1"/>
  <c r="G96" i="56"/>
  <c r="H96" i="56" s="1"/>
  <c r="G97" i="56"/>
  <c r="H97" i="56" s="1"/>
  <c r="G98" i="56"/>
  <c r="H98" i="56" s="1"/>
  <c r="G99" i="56"/>
  <c r="G100" i="56"/>
  <c r="G101" i="56"/>
  <c r="H101" i="56" s="1"/>
  <c r="G102" i="56"/>
  <c r="G103" i="56"/>
  <c r="H103" i="56" s="1"/>
  <c r="G5" i="56"/>
  <c r="A233" i="108" l="1"/>
  <c r="K7" i="71"/>
  <c r="D356" i="79"/>
  <c r="D340" i="79"/>
  <c r="D324" i="79"/>
  <c r="D307" i="79"/>
  <c r="D286" i="79"/>
  <c r="D259" i="79"/>
  <c r="D217" i="79"/>
  <c r="D174" i="79"/>
  <c r="D131" i="79"/>
  <c r="D89" i="79"/>
  <c r="D46" i="79"/>
  <c r="G3" i="91"/>
  <c r="H57" i="72"/>
  <c r="H73" i="72" s="1"/>
  <c r="D8" i="70"/>
  <c r="H71" i="72"/>
  <c r="D369" i="79"/>
  <c r="D353" i="79"/>
  <c r="D337" i="79"/>
  <c r="D321" i="79"/>
  <c r="D303" i="79"/>
  <c r="D282" i="79"/>
  <c r="D254" i="79"/>
  <c r="D211" i="79"/>
  <c r="D169" i="79"/>
  <c r="D126" i="79"/>
  <c r="D83" i="79"/>
  <c r="D41" i="79"/>
  <c r="F4" i="91"/>
  <c r="J3" i="91"/>
  <c r="D368" i="79"/>
  <c r="D352" i="79"/>
  <c r="D336" i="79"/>
  <c r="D320" i="79"/>
  <c r="D302" i="79"/>
  <c r="D281" i="79"/>
  <c r="D249" i="79"/>
  <c r="D206" i="79"/>
  <c r="D163" i="79"/>
  <c r="D121" i="79"/>
  <c r="D78" i="79"/>
  <c r="D35" i="79"/>
  <c r="G4" i="91"/>
  <c r="D7" i="70"/>
  <c r="D365" i="79"/>
  <c r="D349" i="79"/>
  <c r="D333" i="79"/>
  <c r="D317" i="79"/>
  <c r="D298" i="79"/>
  <c r="D277" i="79"/>
  <c r="D243" i="79"/>
  <c r="D201" i="79"/>
  <c r="D158" i="79"/>
  <c r="D115" i="79"/>
  <c r="D73" i="79"/>
  <c r="D30" i="79"/>
  <c r="D6" i="70"/>
  <c r="J5" i="71"/>
  <c r="G19" i="72"/>
  <c r="G57" i="72" s="1"/>
  <c r="G73" i="72" s="1"/>
  <c r="G55" i="72"/>
  <c r="D364" i="79"/>
  <c r="D348" i="79"/>
  <c r="D332" i="79"/>
  <c r="D316" i="79"/>
  <c r="D297" i="79"/>
  <c r="D275" i="79"/>
  <c r="D238" i="79"/>
  <c r="D195" i="79"/>
  <c r="D153" i="79"/>
  <c r="D110" i="79"/>
  <c r="D67" i="79"/>
  <c r="D25" i="79"/>
  <c r="D361" i="79"/>
  <c r="D345" i="79"/>
  <c r="D329" i="79"/>
  <c r="D313" i="79"/>
  <c r="D293" i="79"/>
  <c r="D271" i="79"/>
  <c r="D233" i="79"/>
  <c r="D190" i="79"/>
  <c r="D147" i="79"/>
  <c r="D105" i="79"/>
  <c r="D62" i="79"/>
  <c r="D19" i="79"/>
  <c r="I19" i="72"/>
  <c r="I57" i="72" s="1"/>
  <c r="I73" i="72" s="1"/>
  <c r="I55" i="72"/>
  <c r="D360" i="79"/>
  <c r="D344" i="79"/>
  <c r="D328" i="79"/>
  <c r="D312" i="79"/>
  <c r="D291" i="79"/>
  <c r="D270" i="79"/>
  <c r="D227" i="79"/>
  <c r="D185" i="79"/>
  <c r="D142" i="79"/>
  <c r="D99" i="79"/>
  <c r="D57" i="79"/>
  <c r="D14" i="79"/>
  <c r="D4" i="70"/>
  <c r="J4" i="71"/>
  <c r="J19" i="72"/>
  <c r="J57" i="72" s="1"/>
  <c r="J73" i="72" s="1"/>
  <c r="J55" i="72"/>
  <c r="D11" i="79"/>
  <c r="F11" i="79" s="1"/>
  <c r="D357" i="79"/>
  <c r="D341" i="79"/>
  <c r="D325" i="79"/>
  <c r="D309" i="79"/>
  <c r="D287" i="79"/>
  <c r="D265" i="79"/>
  <c r="D222" i="79"/>
  <c r="D179" i="79"/>
  <c r="D137" i="79"/>
  <c r="D94" i="79"/>
  <c r="J3" i="90"/>
  <c r="H5" i="76"/>
  <c r="H3" i="76"/>
  <c r="J7" i="70"/>
  <c r="J4" i="70"/>
  <c r="C14" i="70"/>
  <c r="D5" i="70" s="1"/>
  <c r="J8" i="70"/>
  <c r="J5" i="70"/>
  <c r="J9" i="70"/>
  <c r="K8" i="71"/>
  <c r="J8" i="71"/>
  <c r="H54" i="87"/>
  <c r="H3" i="87" s="1"/>
  <c r="F3" i="87"/>
  <c r="F4" i="87"/>
  <c r="G11" i="79"/>
  <c r="C12" i="79" s="1"/>
  <c r="E12" i="79" s="1"/>
  <c r="D16" i="79"/>
  <c r="D20" i="79"/>
  <c r="D24" i="79"/>
  <c r="D28" i="79"/>
  <c r="D32" i="79"/>
  <c r="D36" i="79"/>
  <c r="D40" i="79"/>
  <c r="D44" i="79"/>
  <c r="D48" i="79"/>
  <c r="D52" i="79"/>
  <c r="D56" i="79"/>
  <c r="D60" i="79"/>
  <c r="D64" i="79"/>
  <c r="D68" i="79"/>
  <c r="D72" i="79"/>
  <c r="D76" i="79"/>
  <c r="D80" i="79"/>
  <c r="D84" i="79"/>
  <c r="D88" i="79"/>
  <c r="D92" i="79"/>
  <c r="D96" i="79"/>
  <c r="D100" i="79"/>
  <c r="D104" i="79"/>
  <c r="D108" i="79"/>
  <c r="D112" i="79"/>
  <c r="D116" i="79"/>
  <c r="D120" i="79"/>
  <c r="D124" i="79"/>
  <c r="D128" i="79"/>
  <c r="D132" i="79"/>
  <c r="D136" i="79"/>
  <c r="D140" i="79"/>
  <c r="D144" i="79"/>
  <c r="D148" i="79"/>
  <c r="D152" i="79"/>
  <c r="D156" i="79"/>
  <c r="D160" i="79"/>
  <c r="D164" i="79"/>
  <c r="D168" i="79"/>
  <c r="D172" i="79"/>
  <c r="D176" i="79"/>
  <c r="D180" i="79"/>
  <c r="D184" i="79"/>
  <c r="D188" i="79"/>
  <c r="D192" i="79"/>
  <c r="D196" i="79"/>
  <c r="D200" i="79"/>
  <c r="D204" i="79"/>
  <c r="D208" i="79"/>
  <c r="D212" i="79"/>
  <c r="D216" i="79"/>
  <c r="D220" i="79"/>
  <c r="D224" i="79"/>
  <c r="D228" i="79"/>
  <c r="D232" i="79"/>
  <c r="D236" i="79"/>
  <c r="D240" i="79"/>
  <c r="D244" i="79"/>
  <c r="D248" i="79"/>
  <c r="D252" i="79"/>
  <c r="D256" i="79"/>
  <c r="D260" i="79"/>
  <c r="D264" i="79"/>
  <c r="D268" i="79"/>
  <c r="D272" i="79"/>
  <c r="D276" i="79"/>
  <c r="D280" i="79"/>
  <c r="D284" i="79"/>
  <c r="D288" i="79"/>
  <c r="D292" i="79"/>
  <c r="D296" i="79"/>
  <c r="D300" i="79"/>
  <c r="D304" i="79"/>
  <c r="D308" i="79"/>
  <c r="D12" i="79"/>
  <c r="F12" i="79" s="1"/>
  <c r="G12" i="79" s="1"/>
  <c r="C13" i="79" s="1"/>
  <c r="E13" i="79" s="1"/>
  <c r="F13" i="79" s="1"/>
  <c r="D367" i="79"/>
  <c r="D363" i="79"/>
  <c r="D359" i="79"/>
  <c r="D355" i="79"/>
  <c r="D351" i="79"/>
  <c r="D347" i="79"/>
  <c r="D343" i="79"/>
  <c r="D339" i="79"/>
  <c r="D335" i="79"/>
  <c r="D331" i="79"/>
  <c r="D327" i="79"/>
  <c r="D323" i="79"/>
  <c r="D319" i="79"/>
  <c r="D315" i="79"/>
  <c r="D311" i="79"/>
  <c r="D306" i="79"/>
  <c r="D301" i="79"/>
  <c r="D295" i="79"/>
  <c r="D290" i="79"/>
  <c r="D285" i="79"/>
  <c r="D279" i="79"/>
  <c r="D274" i="79"/>
  <c r="D269" i="79"/>
  <c r="D263" i="79"/>
  <c r="D258" i="79"/>
  <c r="D253" i="79"/>
  <c r="D247" i="79"/>
  <c r="D242" i="79"/>
  <c r="D237" i="79"/>
  <c r="D231" i="79"/>
  <c r="D226" i="79"/>
  <c r="D221" i="79"/>
  <c r="D215" i="79"/>
  <c r="D210" i="79"/>
  <c r="D205" i="79"/>
  <c r="D199" i="79"/>
  <c r="D194" i="79"/>
  <c r="D189" i="79"/>
  <c r="D183" i="79"/>
  <c r="D178" i="79"/>
  <c r="D173" i="79"/>
  <c r="D167" i="79"/>
  <c r="D162" i="79"/>
  <c r="D157" i="79"/>
  <c r="D151" i="79"/>
  <c r="D146" i="79"/>
  <c r="D141" i="79"/>
  <c r="D135" i="79"/>
  <c r="D130" i="79"/>
  <c r="D125" i="79"/>
  <c r="D119" i="79"/>
  <c r="D114" i="79"/>
  <c r="D109" i="79"/>
  <c r="D103" i="79"/>
  <c r="D98" i="79"/>
  <c r="D93" i="79"/>
  <c r="D87" i="79"/>
  <c r="D82" i="79"/>
  <c r="D77" i="79"/>
  <c r="D71" i="79"/>
  <c r="D66" i="79"/>
  <c r="D61" i="79"/>
  <c r="D55" i="79"/>
  <c r="D50" i="79"/>
  <c r="D45" i="79"/>
  <c r="D39" i="79"/>
  <c r="D34" i="79"/>
  <c r="D29" i="79"/>
  <c r="D23" i="79"/>
  <c r="D18" i="79"/>
  <c r="D13" i="79"/>
  <c r="H4" i="76"/>
  <c r="F3" i="76"/>
  <c r="K19" i="72"/>
  <c r="L19" i="72" s="1"/>
  <c r="K71" i="72"/>
  <c r="L71" i="72" s="1"/>
  <c r="H52" i="74"/>
  <c r="H2" i="74" s="1"/>
  <c r="H6" i="77"/>
  <c r="H5" i="77"/>
  <c r="F3" i="77"/>
  <c r="D370" i="79"/>
  <c r="D366" i="79"/>
  <c r="D362" i="79"/>
  <c r="D358" i="79"/>
  <c r="D354" i="79"/>
  <c r="D350" i="79"/>
  <c r="D346" i="79"/>
  <c r="D342" i="79"/>
  <c r="D338" i="79"/>
  <c r="D334" i="79"/>
  <c r="D330" i="79"/>
  <c r="D326" i="79"/>
  <c r="D322" i="79"/>
  <c r="D318" i="79"/>
  <c r="D314" i="79"/>
  <c r="D310" i="79"/>
  <c r="D305" i="79"/>
  <c r="D299" i="79"/>
  <c r="D294" i="79"/>
  <c r="D289" i="79"/>
  <c r="D283" i="79"/>
  <c r="D278" i="79"/>
  <c r="D273" i="79"/>
  <c r="D267" i="79"/>
  <c r="D262" i="79"/>
  <c r="D257" i="79"/>
  <c r="D251" i="79"/>
  <c r="D246" i="79"/>
  <c r="D241" i="79"/>
  <c r="D235" i="79"/>
  <c r="D230" i="79"/>
  <c r="D225" i="79"/>
  <c r="D219" i="79"/>
  <c r="D214" i="79"/>
  <c r="D209" i="79"/>
  <c r="D203" i="79"/>
  <c r="D198" i="79"/>
  <c r="D193" i="79"/>
  <c r="D187" i="79"/>
  <c r="D182" i="79"/>
  <c r="D177" i="79"/>
  <c r="D171" i="79"/>
  <c r="D166" i="79"/>
  <c r="D161" i="79"/>
  <c r="D155" i="79"/>
  <c r="D150" i="79"/>
  <c r="D145" i="79"/>
  <c r="D139" i="79"/>
  <c r="D134" i="79"/>
  <c r="D129" i="79"/>
  <c r="D123" i="79"/>
  <c r="D118" i="79"/>
  <c r="D113" i="79"/>
  <c r="D107" i="79"/>
  <c r="D102" i="79"/>
  <c r="D97" i="79"/>
  <c r="D91" i="79"/>
  <c r="D86" i="79"/>
  <c r="D81" i="79"/>
  <c r="D75" i="79"/>
  <c r="D70" i="79"/>
  <c r="D65" i="79"/>
  <c r="D59" i="79"/>
  <c r="D54" i="79"/>
  <c r="D49" i="79"/>
  <c r="D43" i="79"/>
  <c r="D38" i="79"/>
  <c r="D33" i="79"/>
  <c r="D27" i="79"/>
  <c r="D22" i="79"/>
  <c r="D17" i="79"/>
  <c r="H3" i="90"/>
  <c r="H4" i="90"/>
  <c r="F3" i="90"/>
  <c r="H3" i="91"/>
  <c r="D266" i="79"/>
  <c r="D261" i="79"/>
  <c r="D255" i="79"/>
  <c r="D250" i="79"/>
  <c r="D245" i="79"/>
  <c r="D239" i="79"/>
  <c r="D234" i="79"/>
  <c r="D229" i="79"/>
  <c r="D223" i="79"/>
  <c r="D218" i="79"/>
  <c r="D213" i="79"/>
  <c r="D207" i="79"/>
  <c r="D202" i="79"/>
  <c r="D197" i="79"/>
  <c r="D191" i="79"/>
  <c r="D186" i="79"/>
  <c r="D181" i="79"/>
  <c r="D175" i="79"/>
  <c r="D170" i="79"/>
  <c r="D165" i="79"/>
  <c r="D159" i="79"/>
  <c r="D154" i="79"/>
  <c r="D149" i="79"/>
  <c r="D143" i="79"/>
  <c r="D138" i="79"/>
  <c r="D133" i="79"/>
  <c r="D127" i="79"/>
  <c r="D122" i="79"/>
  <c r="D117" i="79"/>
  <c r="D111" i="79"/>
  <c r="D106" i="79"/>
  <c r="D101" i="79"/>
  <c r="D95" i="79"/>
  <c r="D90" i="79"/>
  <c r="D85" i="79"/>
  <c r="D79" i="79"/>
  <c r="D74" i="79"/>
  <c r="D69" i="79"/>
  <c r="D63" i="79"/>
  <c r="D58" i="79"/>
  <c r="D53" i="79"/>
  <c r="D47" i="79"/>
  <c r="D42" i="79"/>
  <c r="D37" i="79"/>
  <c r="D31" i="79"/>
  <c r="D26" i="79"/>
  <c r="D21" i="79"/>
  <c r="D15" i="79"/>
  <c r="H4" i="91"/>
  <c r="F3" i="91"/>
  <c r="H3" i="80"/>
  <c r="H4" i="77"/>
  <c r="F6" i="77"/>
  <c r="F5" i="77"/>
  <c r="F4" i="77"/>
  <c r="F5" i="76"/>
  <c r="F4" i="76"/>
  <c r="J9" i="71"/>
  <c r="K9" i="71"/>
  <c r="K55" i="72"/>
  <c r="L55" i="72" s="1"/>
  <c r="L43" i="72"/>
  <c r="L12" i="72"/>
  <c r="B34" i="71"/>
  <c r="B35" i="71" s="1"/>
  <c r="B36" i="71" s="1"/>
  <c r="B37" i="71" s="1"/>
  <c r="B38" i="71" s="1"/>
  <c r="A234" i="108" l="1"/>
  <c r="H4" i="87"/>
  <c r="G13" i="79"/>
  <c r="C14" i="79" s="1"/>
  <c r="E14" i="79" s="1"/>
  <c r="F14" i="79" s="1"/>
  <c r="G14" i="79" s="1"/>
  <c r="C15" i="79" s="1"/>
  <c r="K57" i="72"/>
  <c r="B13" i="54"/>
  <c r="B14" i="54"/>
  <c r="B15" i="54"/>
  <c r="B16" i="54"/>
  <c r="B17" i="54"/>
  <c r="B18" i="54"/>
  <c r="B19" i="54"/>
  <c r="B12" i="54"/>
  <c r="D4" i="52"/>
  <c r="D5" i="52"/>
  <c r="D6" i="52"/>
  <c r="D7" i="52"/>
  <c r="D8" i="52"/>
  <c r="D9" i="52"/>
  <c r="D10" i="52"/>
  <c r="D11" i="52"/>
  <c r="D12" i="52"/>
  <c r="D13" i="52"/>
  <c r="D14" i="52"/>
  <c r="D15" i="52"/>
  <c r="D16" i="52"/>
  <c r="D17" i="52"/>
  <c r="D18" i="52"/>
  <c r="D19" i="52"/>
  <c r="D20" i="52"/>
  <c r="D21" i="52"/>
  <c r="D22" i="52"/>
  <c r="D23" i="52"/>
  <c r="D24" i="52"/>
  <c r="D25" i="52"/>
  <c r="D26" i="52"/>
  <c r="D27" i="52"/>
  <c r="D28" i="52"/>
  <c r="D29" i="52"/>
  <c r="D30" i="52"/>
  <c r="D31" i="52"/>
  <c r="D32" i="52"/>
  <c r="D33" i="52"/>
  <c r="D34" i="52"/>
  <c r="D3" i="52"/>
  <c r="C10" i="50"/>
  <c r="C9" i="50"/>
  <c r="I13" i="49"/>
  <c r="I15" i="49" s="1"/>
  <c r="C7" i="47"/>
  <c r="D7" i="47" s="1"/>
  <c r="E7" i="47" s="1"/>
  <c r="F7" i="47" s="1"/>
  <c r="G7" i="47" s="1"/>
  <c r="H7" i="47" s="1"/>
  <c r="I7" i="47" s="1"/>
  <c r="J7" i="47" s="1"/>
  <c r="I13" i="46"/>
  <c r="I15" i="46" s="1"/>
  <c r="E13" i="46" s="1"/>
  <c r="E14" i="46" s="1"/>
  <c r="E15" i="46" s="1"/>
  <c r="E16" i="46" s="1"/>
  <c r="D11" i="45"/>
  <c r="D12" i="45"/>
  <c r="D13" i="45"/>
  <c r="D14" i="45"/>
  <c r="D10" i="45"/>
  <c r="G30" i="44"/>
  <c r="G62" i="44"/>
  <c r="G94" i="44"/>
  <c r="F6" i="44"/>
  <c r="G6" i="44" s="1"/>
  <c r="F7" i="44"/>
  <c r="G7" i="44" s="1"/>
  <c r="F8" i="44"/>
  <c r="G8" i="44" s="1"/>
  <c r="F9" i="44"/>
  <c r="G9" i="44" s="1"/>
  <c r="F10" i="44"/>
  <c r="G10" i="44" s="1"/>
  <c r="F11" i="44"/>
  <c r="G11" i="44" s="1"/>
  <c r="F12" i="44"/>
  <c r="G12" i="44" s="1"/>
  <c r="F13" i="44"/>
  <c r="G13" i="44" s="1"/>
  <c r="F14" i="44"/>
  <c r="G14" i="44" s="1"/>
  <c r="F15" i="44"/>
  <c r="G15" i="44" s="1"/>
  <c r="F16" i="44"/>
  <c r="G16" i="44" s="1"/>
  <c r="F17" i="44"/>
  <c r="G17" i="44" s="1"/>
  <c r="F18" i="44"/>
  <c r="G18" i="44" s="1"/>
  <c r="F19" i="44"/>
  <c r="G19" i="44" s="1"/>
  <c r="F20" i="44"/>
  <c r="G20" i="44" s="1"/>
  <c r="F21" i="44"/>
  <c r="G21" i="44" s="1"/>
  <c r="F22" i="44"/>
  <c r="G22" i="44" s="1"/>
  <c r="F23" i="44"/>
  <c r="G23" i="44" s="1"/>
  <c r="F24" i="44"/>
  <c r="G24" i="44" s="1"/>
  <c r="F25" i="44"/>
  <c r="G25" i="44" s="1"/>
  <c r="F26" i="44"/>
  <c r="G26" i="44" s="1"/>
  <c r="F27" i="44"/>
  <c r="G27" i="44" s="1"/>
  <c r="F28" i="44"/>
  <c r="G28" i="44" s="1"/>
  <c r="F29" i="44"/>
  <c r="G29" i="44" s="1"/>
  <c r="F30" i="44"/>
  <c r="F31" i="44"/>
  <c r="G31" i="44" s="1"/>
  <c r="F32" i="44"/>
  <c r="G32" i="44" s="1"/>
  <c r="F33" i="44"/>
  <c r="G33" i="44" s="1"/>
  <c r="F34" i="44"/>
  <c r="G34" i="44" s="1"/>
  <c r="F35" i="44"/>
  <c r="G35" i="44" s="1"/>
  <c r="F36" i="44"/>
  <c r="G36" i="44" s="1"/>
  <c r="F37" i="44"/>
  <c r="G37" i="44" s="1"/>
  <c r="F38" i="44"/>
  <c r="G38" i="44" s="1"/>
  <c r="F39" i="44"/>
  <c r="G39" i="44" s="1"/>
  <c r="F40" i="44"/>
  <c r="G40" i="44" s="1"/>
  <c r="F41" i="44"/>
  <c r="G41" i="44" s="1"/>
  <c r="F42" i="44"/>
  <c r="G42" i="44" s="1"/>
  <c r="F43" i="44"/>
  <c r="G43" i="44" s="1"/>
  <c r="F44" i="44"/>
  <c r="G44" i="44" s="1"/>
  <c r="F45" i="44"/>
  <c r="G45" i="44" s="1"/>
  <c r="F46" i="44"/>
  <c r="G46" i="44" s="1"/>
  <c r="F47" i="44"/>
  <c r="G47" i="44" s="1"/>
  <c r="F48" i="44"/>
  <c r="G48" i="44" s="1"/>
  <c r="F49" i="44"/>
  <c r="G49" i="44" s="1"/>
  <c r="F50" i="44"/>
  <c r="G50" i="44" s="1"/>
  <c r="F51" i="44"/>
  <c r="G51" i="44" s="1"/>
  <c r="F52" i="44"/>
  <c r="G52" i="44" s="1"/>
  <c r="F53" i="44"/>
  <c r="G53" i="44" s="1"/>
  <c r="F54" i="44"/>
  <c r="G54" i="44" s="1"/>
  <c r="F55" i="44"/>
  <c r="G55" i="44" s="1"/>
  <c r="F56" i="44"/>
  <c r="G56" i="44" s="1"/>
  <c r="F57" i="44"/>
  <c r="G57" i="44" s="1"/>
  <c r="F58" i="44"/>
  <c r="G58" i="44" s="1"/>
  <c r="F59" i="44"/>
  <c r="G59" i="44" s="1"/>
  <c r="F60" i="44"/>
  <c r="G60" i="44" s="1"/>
  <c r="F61" i="44"/>
  <c r="G61" i="44" s="1"/>
  <c r="F62" i="44"/>
  <c r="F63" i="44"/>
  <c r="G63" i="44" s="1"/>
  <c r="F64" i="44"/>
  <c r="G64" i="44" s="1"/>
  <c r="F65" i="44"/>
  <c r="G65" i="44" s="1"/>
  <c r="F66" i="44"/>
  <c r="G66" i="44" s="1"/>
  <c r="F67" i="44"/>
  <c r="G67" i="44" s="1"/>
  <c r="F68" i="44"/>
  <c r="G68" i="44" s="1"/>
  <c r="F69" i="44"/>
  <c r="G69" i="44" s="1"/>
  <c r="F70" i="44"/>
  <c r="G70" i="44" s="1"/>
  <c r="F71" i="44"/>
  <c r="G71" i="44" s="1"/>
  <c r="F72" i="44"/>
  <c r="G72" i="44" s="1"/>
  <c r="F73" i="44"/>
  <c r="G73" i="44" s="1"/>
  <c r="F74" i="44"/>
  <c r="G74" i="44" s="1"/>
  <c r="F75" i="44"/>
  <c r="G75" i="44" s="1"/>
  <c r="F76" i="44"/>
  <c r="G76" i="44" s="1"/>
  <c r="F77" i="44"/>
  <c r="G77" i="44" s="1"/>
  <c r="F78" i="44"/>
  <c r="G78" i="44" s="1"/>
  <c r="F79" i="44"/>
  <c r="G79" i="44" s="1"/>
  <c r="F80" i="44"/>
  <c r="G80" i="44" s="1"/>
  <c r="F81" i="44"/>
  <c r="G81" i="44" s="1"/>
  <c r="F82" i="44"/>
  <c r="G82" i="44" s="1"/>
  <c r="F83" i="44"/>
  <c r="G83" i="44" s="1"/>
  <c r="F84" i="44"/>
  <c r="G84" i="44" s="1"/>
  <c r="F85" i="44"/>
  <c r="G85" i="44" s="1"/>
  <c r="F86" i="44"/>
  <c r="G86" i="44" s="1"/>
  <c r="F87" i="44"/>
  <c r="G87" i="44" s="1"/>
  <c r="F88" i="44"/>
  <c r="G88" i="44" s="1"/>
  <c r="F89" i="44"/>
  <c r="G89" i="44" s="1"/>
  <c r="F90" i="44"/>
  <c r="G90" i="44" s="1"/>
  <c r="F91" i="44"/>
  <c r="G91" i="44" s="1"/>
  <c r="F92" i="44"/>
  <c r="G92" i="44" s="1"/>
  <c r="F93" i="44"/>
  <c r="G93" i="44" s="1"/>
  <c r="F94" i="44"/>
  <c r="F95" i="44"/>
  <c r="G95" i="44" s="1"/>
  <c r="F96" i="44"/>
  <c r="G96" i="44" s="1"/>
  <c r="F97" i="44"/>
  <c r="G97" i="44" s="1"/>
  <c r="F98" i="44"/>
  <c r="G98" i="44" s="1"/>
  <c r="F99" i="44"/>
  <c r="G99" i="44" s="1"/>
  <c r="F100" i="44"/>
  <c r="G100" i="44" s="1"/>
  <c r="F101" i="44"/>
  <c r="G101" i="44" s="1"/>
  <c r="F102" i="44"/>
  <c r="G102" i="44" s="1"/>
  <c r="F103" i="44"/>
  <c r="G103" i="44" s="1"/>
  <c r="F5" i="44"/>
  <c r="G5" i="44" s="1"/>
  <c r="F3" i="33"/>
  <c r="F2" i="33"/>
  <c r="F1" i="33"/>
  <c r="D121" i="33"/>
  <c r="G1" i="34"/>
  <c r="D35" i="34"/>
  <c r="E35" i="34"/>
  <c r="F35" i="34"/>
  <c r="G35" i="34"/>
  <c r="H35" i="34"/>
  <c r="C35" i="34"/>
  <c r="D13" i="35"/>
  <c r="B13" i="35"/>
  <c r="I29" i="43"/>
  <c r="I28" i="43"/>
  <c r="I27" i="43"/>
  <c r="I26" i="43"/>
  <c r="I25" i="43"/>
  <c r="I24" i="43"/>
  <c r="I23" i="43"/>
  <c r="F30" i="43"/>
  <c r="D30" i="43"/>
  <c r="I22" i="43"/>
  <c r="I21" i="43"/>
  <c r="I20" i="43"/>
  <c r="I19" i="43"/>
  <c r="I18" i="43"/>
  <c r="H30" i="43"/>
  <c r="I17" i="43"/>
  <c r="I16" i="43"/>
  <c r="I15" i="43"/>
  <c r="I14" i="43"/>
  <c r="I13" i="43"/>
  <c r="G30" i="43"/>
  <c r="E30" i="43"/>
  <c r="C30" i="43"/>
  <c r="I12" i="43"/>
  <c r="I11" i="43"/>
  <c r="I10" i="43"/>
  <c r="I9" i="43"/>
  <c r="I8" i="43"/>
  <c r="H5" i="43"/>
  <c r="G5" i="43"/>
  <c r="F5" i="43"/>
  <c r="E5" i="43"/>
  <c r="D5" i="43"/>
  <c r="C5" i="43"/>
  <c r="D5" i="36"/>
  <c r="E5" i="36"/>
  <c r="F5" i="36"/>
  <c r="G5" i="36"/>
  <c r="H5" i="36"/>
  <c r="C5" i="36"/>
  <c r="I5" i="36"/>
  <c r="C30" i="36"/>
  <c r="D30" i="36"/>
  <c r="E30" i="36"/>
  <c r="F30" i="36"/>
  <c r="G30" i="36"/>
  <c r="H30" i="36"/>
  <c r="I9" i="36"/>
  <c r="I10" i="36"/>
  <c r="I11" i="36"/>
  <c r="I12" i="36"/>
  <c r="I13" i="36"/>
  <c r="I14" i="36"/>
  <c r="I15" i="36"/>
  <c r="I16" i="36"/>
  <c r="I17" i="36"/>
  <c r="I18" i="36"/>
  <c r="I19" i="36"/>
  <c r="I20" i="36"/>
  <c r="I21" i="36"/>
  <c r="I22" i="36"/>
  <c r="I23" i="36"/>
  <c r="I24" i="36"/>
  <c r="I25" i="36"/>
  <c r="I26" i="36"/>
  <c r="I27" i="36"/>
  <c r="I28" i="36"/>
  <c r="I29" i="36"/>
  <c r="I8" i="36"/>
  <c r="D121" i="37"/>
  <c r="F3" i="37"/>
  <c r="F1" i="37"/>
  <c r="F2" i="37"/>
  <c r="D33" i="39"/>
  <c r="D28" i="39"/>
  <c r="D23" i="39"/>
  <c r="D16" i="39"/>
  <c r="D11" i="39"/>
  <c r="D6" i="39"/>
  <c r="G71" i="40"/>
  <c r="G67" i="40"/>
  <c r="H66" i="40"/>
  <c r="I66" i="40" s="1"/>
  <c r="H65" i="40"/>
  <c r="I65" i="40" s="1"/>
  <c r="H64" i="40"/>
  <c r="I64" i="40" s="1"/>
  <c r="G54" i="40"/>
  <c r="G50" i="40"/>
  <c r="G45" i="40"/>
  <c r="G34" i="40"/>
  <c r="G27" i="40"/>
  <c r="G17" i="40"/>
  <c r="H15" i="40"/>
  <c r="H70" i="40" s="1"/>
  <c r="I70" i="40" s="1"/>
  <c r="I71" i="40" s="1"/>
  <c r="G12" i="40"/>
  <c r="H9" i="40"/>
  <c r="I9" i="40" s="1"/>
  <c r="F12" i="41"/>
  <c r="D12" i="41"/>
  <c r="B12" i="41"/>
  <c r="A235" i="108" l="1"/>
  <c r="G57" i="40"/>
  <c r="G73" i="40"/>
  <c r="F4" i="37"/>
  <c r="E15" i="79"/>
  <c r="F15" i="79" s="1"/>
  <c r="G15" i="79" s="1"/>
  <c r="C16" i="79" s="1"/>
  <c r="K73" i="72"/>
  <c r="L73" i="72" s="1"/>
  <c r="L57" i="72"/>
  <c r="E18" i="46"/>
  <c r="I17" i="46" s="1"/>
  <c r="I19" i="46" s="1"/>
  <c r="E13" i="49"/>
  <c r="E14" i="49" s="1"/>
  <c r="E15" i="49" s="1"/>
  <c r="E16" i="49" s="1"/>
  <c r="F18" i="47"/>
  <c r="F20" i="47" s="1"/>
  <c r="I5" i="43"/>
  <c r="I30" i="43"/>
  <c r="I30" i="36"/>
  <c r="H57" i="40"/>
  <c r="D18" i="39"/>
  <c r="D37" i="39" s="1"/>
  <c r="D35" i="39"/>
  <c r="G20" i="40"/>
  <c r="I67" i="40"/>
  <c r="I73" i="40" s="1"/>
  <c r="H10" i="40"/>
  <c r="I10" i="40" s="1"/>
  <c r="I12" i="40" s="1"/>
  <c r="H16" i="40"/>
  <c r="I16" i="40" s="1"/>
  <c r="H24" i="40"/>
  <c r="I24" i="40" s="1"/>
  <c r="H26" i="40"/>
  <c r="I26" i="40" s="1"/>
  <c r="H29" i="40"/>
  <c r="I29" i="40" s="1"/>
  <c r="H32" i="40"/>
  <c r="I32" i="40" s="1"/>
  <c r="H37" i="40"/>
  <c r="I37" i="40" s="1"/>
  <c r="H39" i="40"/>
  <c r="I39" i="40" s="1"/>
  <c r="H41" i="40"/>
  <c r="I41" i="40" s="1"/>
  <c r="H49" i="40"/>
  <c r="I49" i="40" s="1"/>
  <c r="H53" i="40"/>
  <c r="I53" i="40" s="1"/>
  <c r="I54" i="40" s="1"/>
  <c r="H56" i="40"/>
  <c r="I56" i="40" s="1"/>
  <c r="I15" i="40"/>
  <c r="H25" i="40"/>
  <c r="I25" i="40" s="1"/>
  <c r="H30" i="40"/>
  <c r="H33" i="40"/>
  <c r="I33" i="40" s="1"/>
  <c r="H36" i="40"/>
  <c r="I36" i="40" s="1"/>
  <c r="H38" i="40"/>
  <c r="I38" i="40" s="1"/>
  <c r="H40" i="40"/>
  <c r="I40" i="40" s="1"/>
  <c r="H48" i="40"/>
  <c r="I48" i="40" s="1"/>
  <c r="I50" i="40" s="1"/>
  <c r="A236" i="108" l="1"/>
  <c r="E16" i="79"/>
  <c r="F16" i="79" s="1"/>
  <c r="G16" i="79" s="1"/>
  <c r="C17" i="79" s="1"/>
  <c r="E18" i="49"/>
  <c r="I17" i="49" s="1"/>
  <c r="I19" i="49" s="1"/>
  <c r="I17" i="40"/>
  <c r="I19" i="40" s="1"/>
  <c r="G59" i="40"/>
  <c r="G75" i="40" s="1"/>
  <c r="I34" i="40"/>
  <c r="H44" i="40"/>
  <c r="I44" i="40" s="1"/>
  <c r="I45" i="40" s="1"/>
  <c r="I30" i="40"/>
  <c r="I27" i="40"/>
  <c r="A239" i="108" l="1"/>
  <c r="F227" i="108"/>
  <c r="E17" i="79"/>
  <c r="F17" i="79" s="1"/>
  <c r="G17" i="79" s="1"/>
  <c r="C18" i="79" s="1"/>
  <c r="I20" i="40"/>
  <c r="I57" i="40"/>
  <c r="I59" i="40" s="1"/>
  <c r="I75" i="40" s="1"/>
  <c r="D8" i="19"/>
  <c r="D9" i="19"/>
  <c r="D10" i="19"/>
  <c r="D11" i="19"/>
  <c r="D12" i="19"/>
  <c r="D13" i="19"/>
  <c r="D14" i="19"/>
  <c r="D15" i="19"/>
  <c r="A4" i="22"/>
  <c r="A6" i="17"/>
  <c r="C11" i="17" s="1"/>
  <c r="D11" i="17" s="1"/>
  <c r="D7" i="19"/>
  <c r="A5" i="19"/>
  <c r="D10" i="1"/>
  <c r="D11" i="1"/>
  <c r="D12" i="1"/>
  <c r="E20" i="16"/>
  <c r="K20" i="16"/>
  <c r="G20" i="16"/>
  <c r="C17" i="16"/>
  <c r="I20" i="16"/>
  <c r="C16" i="16"/>
  <c r="D58" i="15"/>
  <c r="D59" i="15"/>
  <c r="D60" i="15"/>
  <c r="D61" i="15"/>
  <c r="D57" i="15"/>
  <c r="D56" i="15"/>
  <c r="D55" i="15"/>
  <c r="E31" i="15"/>
  <c r="E30" i="15"/>
  <c r="E29" i="15"/>
  <c r="E28" i="15"/>
  <c r="E27" i="15"/>
  <c r="E26" i="15"/>
  <c r="E25" i="15"/>
  <c r="E24" i="15"/>
  <c r="E23" i="15"/>
  <c r="E22" i="15"/>
  <c r="E21" i="15"/>
  <c r="E19" i="15"/>
  <c r="E18" i="15"/>
  <c r="E17" i="15"/>
  <c r="E16" i="15"/>
  <c r="E15" i="15"/>
  <c r="E14" i="15"/>
  <c r="E20" i="15"/>
  <c r="E9" i="15"/>
  <c r="E4" i="15"/>
  <c r="E227" i="108" l="1"/>
  <c r="A240" i="108"/>
  <c r="E18" i="79"/>
  <c r="F18" i="79" s="1"/>
  <c r="G18" i="79" s="1"/>
  <c r="C19" i="79" s="1"/>
  <c r="C8" i="17"/>
  <c r="D8" i="17" s="1"/>
  <c r="C10" i="17"/>
  <c r="D10" i="17" s="1"/>
  <c r="C9" i="17"/>
  <c r="D9" i="17" s="1"/>
  <c r="C18" i="16"/>
  <c r="C20" i="16" s="1"/>
  <c r="A241" i="108" l="1"/>
  <c r="E19" i="79"/>
  <c r="F19" i="79" s="1"/>
  <c r="G19" i="79" s="1"/>
  <c r="C20" i="79" s="1"/>
  <c r="I6" i="11"/>
  <c r="F42" i="11"/>
  <c r="F41" i="11"/>
  <c r="F40" i="11"/>
  <c r="F39" i="11"/>
  <c r="F38" i="11"/>
  <c r="F37" i="11"/>
  <c r="F36" i="11"/>
  <c r="F35" i="11"/>
  <c r="F34" i="11"/>
  <c r="F33" i="11"/>
  <c r="F32" i="11"/>
  <c r="F31" i="11"/>
  <c r="F30" i="11"/>
  <c r="F29" i="11"/>
  <c r="F28" i="11"/>
  <c r="F27" i="11"/>
  <c r="F26" i="11"/>
  <c r="F25" i="11"/>
  <c r="F24" i="11"/>
  <c r="F23" i="11"/>
  <c r="F22" i="11"/>
  <c r="F21" i="11"/>
  <c r="F20" i="11"/>
  <c r="F19" i="11"/>
  <c r="I8" i="11" s="1"/>
  <c r="F18" i="11"/>
  <c r="F17" i="11"/>
  <c r="F16" i="11"/>
  <c r="C40" i="7"/>
  <c r="C39" i="7"/>
  <c r="C38" i="7"/>
  <c r="D33" i="7"/>
  <c r="D31" i="7"/>
  <c r="D29" i="7"/>
  <c r="D27" i="7"/>
  <c r="D25" i="7"/>
  <c r="D19" i="7"/>
  <c r="D17" i="7"/>
  <c r="K14" i="7"/>
  <c r="K18" i="7"/>
  <c r="K19" i="7"/>
  <c r="K23" i="7"/>
  <c r="K27" i="7"/>
  <c r="K32" i="7"/>
  <c r="K37" i="7"/>
  <c r="K42" i="7"/>
  <c r="D9" i="7"/>
  <c r="D5" i="7"/>
  <c r="D13" i="7"/>
  <c r="D11" i="7"/>
  <c r="D7" i="7"/>
  <c r="K43" i="7"/>
  <c r="K41" i="7"/>
  <c r="K40" i="7"/>
  <c r="K39" i="7"/>
  <c r="K38" i="7"/>
  <c r="K36" i="7"/>
  <c r="K35" i="7"/>
  <c r="K34" i="7"/>
  <c r="K33" i="7"/>
  <c r="K31" i="7"/>
  <c r="K30" i="7"/>
  <c r="K29" i="7"/>
  <c r="K28" i="7"/>
  <c r="K26" i="7"/>
  <c r="K25" i="7"/>
  <c r="K24" i="7"/>
  <c r="K22" i="7"/>
  <c r="K21" i="7"/>
  <c r="K20" i="7"/>
  <c r="K17" i="7"/>
  <c r="K16" i="7"/>
  <c r="K15" i="7"/>
  <c r="K13" i="7"/>
  <c r="K12" i="7"/>
  <c r="K11" i="7"/>
  <c r="K10" i="7"/>
  <c r="K9" i="7"/>
  <c r="K8" i="7"/>
  <c r="K7" i="7"/>
  <c r="K6" i="7"/>
  <c r="K5" i="7"/>
  <c r="K4" i="7"/>
  <c r="B29" i="6"/>
  <c r="A40" i="4"/>
  <c r="B43" i="4"/>
  <c r="A43" i="4"/>
  <c r="B32" i="6"/>
  <c r="A32" i="6"/>
  <c r="C24" i="6"/>
  <c r="B24" i="6"/>
  <c r="B21" i="6"/>
  <c r="B18" i="6"/>
  <c r="B15" i="6"/>
  <c r="C11" i="6"/>
  <c r="C8" i="6"/>
  <c r="A34" i="4"/>
  <c r="B34" i="4" s="1"/>
  <c r="A37" i="4"/>
  <c r="B37" i="4" s="1"/>
  <c r="A31" i="4"/>
  <c r="B31" i="4" s="1"/>
  <c r="A27" i="4"/>
  <c r="C27" i="4" s="1"/>
  <c r="A26" i="4"/>
  <c r="C26" i="4" s="1"/>
  <c r="A23" i="4"/>
  <c r="A22" i="4"/>
  <c r="A19" i="4"/>
  <c r="C19" i="4" s="1"/>
  <c r="A18" i="4"/>
  <c r="C18" i="4" s="1"/>
  <c r="B23" i="4" s="1"/>
  <c r="A17" i="4"/>
  <c r="C17" i="4" s="1"/>
  <c r="B22" i="4" s="1"/>
  <c r="A14" i="4"/>
  <c r="C14" i="4" s="1"/>
  <c r="A10" i="4"/>
  <c r="C10" i="4" s="1"/>
  <c r="A7" i="4"/>
  <c r="C7" i="4" s="1"/>
  <c r="B15" i="2"/>
  <c r="B10" i="2" s="1"/>
  <c r="B23" i="2"/>
  <c r="B18" i="2" s="1"/>
  <c r="B40" i="2"/>
  <c r="B35" i="2"/>
  <c r="B32" i="2"/>
  <c r="B27" i="2" s="1"/>
  <c r="D6" i="1"/>
  <c r="D7" i="1"/>
  <c r="D8" i="1"/>
  <c r="D9" i="1"/>
  <c r="A242" i="108" l="1"/>
  <c r="I4" i="11"/>
  <c r="I10" i="11"/>
  <c r="E20" i="79"/>
  <c r="F20" i="79" s="1"/>
  <c r="G20" i="79" s="1"/>
  <c r="C21" i="79" s="1"/>
  <c r="D15" i="7"/>
  <c r="C23" i="4"/>
  <c r="C22" i="4"/>
  <c r="A243" i="108" l="1"/>
  <c r="E21" i="79"/>
  <c r="F21" i="79" s="1"/>
  <c r="G21" i="79" s="1"/>
  <c r="C22" i="79" s="1"/>
  <c r="A244" i="108" l="1"/>
  <c r="E22" i="79"/>
  <c r="F22" i="79" s="1"/>
  <c r="G22" i="79" s="1"/>
  <c r="C23" i="79" s="1"/>
  <c r="A245" i="108" l="1"/>
  <c r="E23" i="79"/>
  <c r="F23" i="79" s="1"/>
  <c r="G23" i="79" s="1"/>
  <c r="C24" i="79" s="1"/>
  <c r="A246" i="108" l="1"/>
  <c r="E24" i="79"/>
  <c r="F24" i="79" s="1"/>
  <c r="G24" i="79" s="1"/>
  <c r="C25" i="79" s="1"/>
  <c r="A247" i="108" l="1"/>
  <c r="E25" i="79"/>
  <c r="F25" i="79" s="1"/>
  <c r="G25" i="79" s="1"/>
  <c r="C26" i="79" s="1"/>
  <c r="A248" i="108" l="1"/>
  <c r="E26" i="79"/>
  <c r="F26" i="79" s="1"/>
  <c r="G26" i="79" s="1"/>
  <c r="C27" i="79" s="1"/>
  <c r="A249" i="108" l="1"/>
  <c r="E27" i="79"/>
  <c r="F27" i="79" s="1"/>
  <c r="G27" i="79" s="1"/>
  <c r="C28" i="79" s="1"/>
  <c r="A250" i="108" l="1"/>
  <c r="E28" i="79"/>
  <c r="F28" i="79" s="1"/>
  <c r="G28" i="79" s="1"/>
  <c r="C29" i="79" s="1"/>
  <c r="A251" i="108" l="1"/>
  <c r="E29" i="79"/>
  <c r="F29" i="79" s="1"/>
  <c r="G29" i="79" s="1"/>
  <c r="C30" i="79" s="1"/>
  <c r="A252" i="108" l="1"/>
  <c r="E30" i="79"/>
  <c r="F30" i="79" s="1"/>
  <c r="G30" i="79" s="1"/>
  <c r="C31" i="79" s="1"/>
  <c r="A253" i="108" l="1"/>
  <c r="E31" i="79"/>
  <c r="F31" i="79" s="1"/>
  <c r="G31" i="79" s="1"/>
  <c r="C32" i="79" s="1"/>
  <c r="A254" i="108" l="1"/>
  <c r="E32" i="79"/>
  <c r="F32" i="79" s="1"/>
  <c r="G32" i="79" s="1"/>
  <c r="C33" i="79" s="1"/>
  <c r="A255" i="108" l="1"/>
  <c r="E33" i="79"/>
  <c r="F33" i="79" s="1"/>
  <c r="G33" i="79" s="1"/>
  <c r="C34" i="79" s="1"/>
  <c r="A256" i="108" l="1"/>
  <c r="E34" i="79"/>
  <c r="F34" i="79" s="1"/>
  <c r="G34" i="79" s="1"/>
  <c r="C35" i="79" s="1"/>
  <c r="A257" i="108" l="1"/>
  <c r="E35" i="79"/>
  <c r="F35" i="79" s="1"/>
  <c r="G35" i="79" s="1"/>
  <c r="C36" i="79" s="1"/>
  <c r="A260" i="108" l="1"/>
  <c r="F238" i="108"/>
  <c r="E36" i="79"/>
  <c r="F36" i="79" s="1"/>
  <c r="G36" i="79" s="1"/>
  <c r="C37" i="79" s="1"/>
  <c r="E238" i="108" l="1"/>
  <c r="A261" i="108"/>
  <c r="E37" i="79"/>
  <c r="F37" i="79" s="1"/>
  <c r="G37" i="79" s="1"/>
  <c r="C38" i="79" s="1"/>
  <c r="A262" i="108" l="1"/>
  <c r="E38" i="79"/>
  <c r="F38" i="79" s="1"/>
  <c r="G38" i="79" s="1"/>
  <c r="C39" i="79" s="1"/>
  <c r="A263" i="108" l="1"/>
  <c r="E39" i="79"/>
  <c r="F39" i="79" s="1"/>
  <c r="G39" i="79" s="1"/>
  <c r="C40" i="79" s="1"/>
  <c r="A264" i="108" l="1"/>
  <c r="E40" i="79"/>
  <c r="F40" i="79" s="1"/>
  <c r="G40" i="79" s="1"/>
  <c r="C41" i="79" s="1"/>
  <c r="A265" i="108" l="1"/>
  <c r="E41" i="79"/>
  <c r="F41" i="79" s="1"/>
  <c r="G41" i="79" s="1"/>
  <c r="C42" i="79" s="1"/>
  <c r="A266" i="108" l="1"/>
  <c r="E42" i="79"/>
  <c r="F42" i="79" s="1"/>
  <c r="G42" i="79" s="1"/>
  <c r="C43" i="79" s="1"/>
  <c r="A267" i="108" l="1"/>
  <c r="E43" i="79"/>
  <c r="F43" i="79" s="1"/>
  <c r="G43" i="79" s="1"/>
  <c r="C44" i="79" s="1"/>
  <c r="A268" i="108" l="1"/>
  <c r="E44" i="79"/>
  <c r="F44" i="79" s="1"/>
  <c r="G44" i="79" s="1"/>
  <c r="C45" i="79" s="1"/>
  <c r="A269" i="108" l="1"/>
  <c r="E45" i="79"/>
  <c r="F45" i="79" s="1"/>
  <c r="G45" i="79" s="1"/>
  <c r="C46" i="79" s="1"/>
  <c r="A270" i="108" l="1"/>
  <c r="E46" i="79"/>
  <c r="F46" i="79" s="1"/>
  <c r="G46" i="79" s="1"/>
  <c r="C47" i="79" s="1"/>
  <c r="A271" i="108" l="1"/>
  <c r="E47" i="79"/>
  <c r="F47" i="79" s="1"/>
  <c r="G47" i="79" s="1"/>
  <c r="C48" i="79" s="1"/>
  <c r="A272" i="108" l="1"/>
  <c r="E48" i="79"/>
  <c r="F48" i="79" s="1"/>
  <c r="G48" i="79" s="1"/>
  <c r="C49" i="79" s="1"/>
  <c r="A273" i="108" l="1"/>
  <c r="E49" i="79"/>
  <c r="F49" i="79" s="1"/>
  <c r="G49" i="79" s="1"/>
  <c r="C50" i="79" s="1"/>
  <c r="A274" i="108" l="1"/>
  <c r="E50" i="79"/>
  <c r="F50" i="79" s="1"/>
  <c r="G50" i="79" s="1"/>
  <c r="C51" i="79" s="1"/>
  <c r="A275" i="108" l="1"/>
  <c r="E51" i="79"/>
  <c r="F51" i="79" s="1"/>
  <c r="G51" i="79" s="1"/>
  <c r="C52" i="79" s="1"/>
  <c r="A276" i="108" l="1"/>
  <c r="E52" i="79"/>
  <c r="F52" i="79" s="1"/>
  <c r="G52" i="79" s="1"/>
  <c r="C53" i="79" s="1"/>
  <c r="A277" i="108" l="1"/>
  <c r="E53" i="79"/>
  <c r="F53" i="79" s="1"/>
  <c r="G53" i="79" s="1"/>
  <c r="C54" i="79" s="1"/>
  <c r="A278" i="108" l="1"/>
  <c r="E54" i="79"/>
  <c r="F54" i="79" s="1"/>
  <c r="G54" i="79" s="1"/>
  <c r="C55" i="79" s="1"/>
  <c r="A279" i="108" l="1"/>
  <c r="E55" i="79"/>
  <c r="F55" i="79" s="1"/>
  <c r="G55" i="79" s="1"/>
  <c r="C56" i="79" s="1"/>
  <c r="A280" i="108" l="1"/>
  <c r="E56" i="79"/>
  <c r="F56" i="79" s="1"/>
  <c r="G56" i="79" s="1"/>
  <c r="C57" i="79" s="1"/>
  <c r="A281" i="108" l="1"/>
  <c r="E57" i="79"/>
  <c r="F57" i="79" s="1"/>
  <c r="G57" i="79" s="1"/>
  <c r="C58" i="79" s="1"/>
  <c r="A282" i="108" l="1"/>
  <c r="E58" i="79"/>
  <c r="F58" i="79" s="1"/>
  <c r="G58" i="79" s="1"/>
  <c r="C59" i="79" s="1"/>
  <c r="A283" i="108" l="1"/>
  <c r="E59" i="79"/>
  <c r="F59" i="79" s="1"/>
  <c r="G59" i="79" s="1"/>
  <c r="C60" i="79" s="1"/>
  <c r="A284" i="108" l="1"/>
  <c r="E60" i="79"/>
  <c r="F60" i="79" s="1"/>
  <c r="G60" i="79" s="1"/>
  <c r="C61" i="79" s="1"/>
  <c r="A285" i="108" l="1"/>
  <c r="E61" i="79"/>
  <c r="F61" i="79" s="1"/>
  <c r="G61" i="79" s="1"/>
  <c r="C62" i="79" s="1"/>
  <c r="A286" i="108" l="1"/>
  <c r="E62" i="79"/>
  <c r="F62" i="79" s="1"/>
  <c r="G62" i="79" s="1"/>
  <c r="C63" i="79" s="1"/>
  <c r="A287" i="108" l="1"/>
  <c r="E63" i="79"/>
  <c r="F63" i="79" s="1"/>
  <c r="G63" i="79" s="1"/>
  <c r="C64" i="79" s="1"/>
  <c r="A288" i="108" l="1"/>
  <c r="E64" i="79"/>
  <c r="F64" i="79" s="1"/>
  <c r="G64" i="79" s="1"/>
  <c r="C65" i="79" s="1"/>
  <c r="A289" i="108" l="1"/>
  <c r="E65" i="79"/>
  <c r="F65" i="79" s="1"/>
  <c r="G65" i="79" s="1"/>
  <c r="C66" i="79" s="1"/>
  <c r="A290" i="108" l="1"/>
  <c r="E66" i="79"/>
  <c r="F66" i="79" s="1"/>
  <c r="G66" i="79" s="1"/>
  <c r="C67" i="79" s="1"/>
  <c r="A291" i="108" l="1"/>
  <c r="E67" i="79"/>
  <c r="F67" i="79" s="1"/>
  <c r="G67" i="79" s="1"/>
  <c r="C68" i="79" s="1"/>
  <c r="A292" i="108" l="1"/>
  <c r="E68" i="79"/>
  <c r="F68" i="79" s="1"/>
  <c r="G68" i="79" s="1"/>
  <c r="C69" i="79" s="1"/>
  <c r="A293" i="108" l="1"/>
  <c r="E69" i="79"/>
  <c r="F69" i="79" s="1"/>
  <c r="G69" i="79" s="1"/>
  <c r="C70" i="79" s="1"/>
  <c r="A294" i="108" l="1"/>
  <c r="E70" i="79"/>
  <c r="F70" i="79" s="1"/>
  <c r="G70" i="79" s="1"/>
  <c r="C71" i="79" s="1"/>
  <c r="A295" i="108" l="1"/>
  <c r="E71" i="79"/>
  <c r="F71" i="79" s="1"/>
  <c r="G71" i="79" s="1"/>
  <c r="C72" i="79" s="1"/>
  <c r="A296" i="108" l="1"/>
  <c r="E72" i="79"/>
  <c r="F72" i="79" s="1"/>
  <c r="G72" i="79" s="1"/>
  <c r="C73" i="79" s="1"/>
  <c r="A297" i="108" l="1"/>
  <c r="E73" i="79"/>
  <c r="F73" i="79" s="1"/>
  <c r="G73" i="79" s="1"/>
  <c r="C74" i="79" s="1"/>
  <c r="A298" i="108" l="1"/>
  <c r="E74" i="79"/>
  <c r="F74" i="79" s="1"/>
  <c r="G74" i="79" s="1"/>
  <c r="C75" i="79" s="1"/>
  <c r="A299" i="108" l="1"/>
  <c r="E75" i="79"/>
  <c r="F75" i="79" s="1"/>
  <c r="G75" i="79" s="1"/>
  <c r="C76" i="79" s="1"/>
  <c r="A300" i="108" l="1"/>
  <c r="E76" i="79"/>
  <c r="F76" i="79" s="1"/>
  <c r="G76" i="79" s="1"/>
  <c r="C77" i="79" s="1"/>
  <c r="A301" i="108" l="1"/>
  <c r="E77" i="79"/>
  <c r="F77" i="79" s="1"/>
  <c r="G77" i="79" s="1"/>
  <c r="C78" i="79" s="1"/>
  <c r="A302" i="108" l="1"/>
  <c r="E78" i="79"/>
  <c r="F78" i="79" s="1"/>
  <c r="G78" i="79" s="1"/>
  <c r="C79" i="79" s="1"/>
  <c r="A303" i="108" l="1"/>
  <c r="E79" i="79"/>
  <c r="F79" i="79" s="1"/>
  <c r="G79" i="79" s="1"/>
  <c r="C80" i="79" s="1"/>
  <c r="A304" i="108" l="1"/>
  <c r="E80" i="79"/>
  <c r="F80" i="79" s="1"/>
  <c r="G80" i="79" s="1"/>
  <c r="C81" i="79" s="1"/>
  <c r="A305" i="108" l="1"/>
  <c r="E81" i="79"/>
  <c r="F81" i="79" s="1"/>
  <c r="G81" i="79" s="1"/>
  <c r="C82" i="79" s="1"/>
  <c r="A306" i="108" l="1"/>
  <c r="E82" i="79"/>
  <c r="F82" i="79" s="1"/>
  <c r="G82" i="79" s="1"/>
  <c r="C83" i="79" s="1"/>
  <c r="A307" i="108" l="1"/>
  <c r="E83" i="79"/>
  <c r="F83" i="79" s="1"/>
  <c r="G83" i="79" s="1"/>
  <c r="C84" i="79" s="1"/>
  <c r="A308" i="108" l="1"/>
  <c r="E84" i="79"/>
  <c r="F84" i="79" s="1"/>
  <c r="G84" i="79" s="1"/>
  <c r="C85" i="79" s="1"/>
  <c r="A309" i="108" l="1"/>
  <c r="E85" i="79"/>
  <c r="F85" i="79" s="1"/>
  <c r="G85" i="79" s="1"/>
  <c r="C86" i="79" s="1"/>
  <c r="A310" i="108" l="1"/>
  <c r="E86" i="79"/>
  <c r="F86" i="79" s="1"/>
  <c r="G86" i="79" s="1"/>
  <c r="C87" i="79" s="1"/>
  <c r="A311" i="108" l="1"/>
  <c r="E87" i="79"/>
  <c r="F87" i="79" s="1"/>
  <c r="G87" i="79" s="1"/>
  <c r="C88" i="79" s="1"/>
  <c r="A312" i="108" l="1"/>
  <c r="E88" i="79"/>
  <c r="F88" i="79" s="1"/>
  <c r="G88" i="79" s="1"/>
  <c r="C89" i="79" s="1"/>
  <c r="A313" i="108" l="1"/>
  <c r="E89" i="79"/>
  <c r="F89" i="79" s="1"/>
  <c r="G89" i="79" s="1"/>
  <c r="C90" i="79" s="1"/>
  <c r="A314" i="108" l="1"/>
  <c r="E90" i="79"/>
  <c r="F90" i="79" s="1"/>
  <c r="G90" i="79" s="1"/>
  <c r="C91" i="79" s="1"/>
  <c r="A315" i="108" l="1"/>
  <c r="E91" i="79"/>
  <c r="F91" i="79" s="1"/>
  <c r="G91" i="79" s="1"/>
  <c r="C92" i="79" s="1"/>
  <c r="A316" i="108" l="1"/>
  <c r="E92" i="79"/>
  <c r="F92" i="79" s="1"/>
  <c r="G92" i="79" s="1"/>
  <c r="C93" i="79" s="1"/>
  <c r="A317" i="108" l="1"/>
  <c r="E93" i="79"/>
  <c r="F93" i="79" s="1"/>
  <c r="G93" i="79" s="1"/>
  <c r="C94" i="79" s="1"/>
  <c r="A318" i="108" l="1"/>
  <c r="E94" i="79"/>
  <c r="F94" i="79" s="1"/>
  <c r="G94" i="79" s="1"/>
  <c r="C95" i="79" s="1"/>
  <c r="A319" i="108" l="1"/>
  <c r="E95" i="79"/>
  <c r="F95" i="79" s="1"/>
  <c r="G95" i="79" s="1"/>
  <c r="C96" i="79" s="1"/>
  <c r="A320" i="108" l="1"/>
  <c r="E96" i="79"/>
  <c r="F96" i="79" s="1"/>
  <c r="G96" i="79" s="1"/>
  <c r="C97" i="79" s="1"/>
  <c r="A321" i="108" l="1"/>
  <c r="E97" i="79"/>
  <c r="F97" i="79" s="1"/>
  <c r="G97" i="79" s="1"/>
  <c r="C98" i="79" s="1"/>
  <c r="A322" i="108" l="1"/>
  <c r="E98" i="79"/>
  <c r="F98" i="79" s="1"/>
  <c r="G98" i="79" s="1"/>
  <c r="C99" i="79" s="1"/>
  <c r="A323" i="108" l="1"/>
  <c r="E99" i="79"/>
  <c r="F99" i="79" s="1"/>
  <c r="G99" i="79" s="1"/>
  <c r="C100" i="79" s="1"/>
  <c r="A324" i="108" l="1"/>
  <c r="E100" i="79"/>
  <c r="F100" i="79" s="1"/>
  <c r="G100" i="79" s="1"/>
  <c r="C101" i="79" s="1"/>
  <c r="A325" i="108" l="1"/>
  <c r="E101" i="79"/>
  <c r="F101" i="79" s="1"/>
  <c r="G101" i="79" s="1"/>
  <c r="C102" i="79" s="1"/>
  <c r="A326" i="108" l="1"/>
  <c r="E102" i="79"/>
  <c r="F102" i="79" s="1"/>
  <c r="G102" i="79" s="1"/>
  <c r="C103" i="79" s="1"/>
  <c r="A327" i="108" l="1"/>
  <c r="E103" i="79"/>
  <c r="F103" i="79" s="1"/>
  <c r="G103" i="79" s="1"/>
  <c r="C104" i="79" s="1"/>
  <c r="A328" i="108" l="1"/>
  <c r="E104" i="79"/>
  <c r="F104" i="79" s="1"/>
  <c r="G104" i="79" s="1"/>
  <c r="C105" i="79" s="1"/>
  <c r="A329" i="108" l="1"/>
  <c r="E105" i="79"/>
  <c r="F105" i="79" s="1"/>
  <c r="G105" i="79" s="1"/>
  <c r="C106" i="79" s="1"/>
  <c r="A330" i="108" l="1"/>
  <c r="E106" i="79"/>
  <c r="F106" i="79" s="1"/>
  <c r="G106" i="79" s="1"/>
  <c r="C107" i="79" s="1"/>
  <c r="A331" i="108" l="1"/>
  <c r="E107" i="79"/>
  <c r="F107" i="79" s="1"/>
  <c r="G107" i="79" s="1"/>
  <c r="C108" i="79" s="1"/>
  <c r="A332" i="108" l="1"/>
  <c r="E108" i="79"/>
  <c r="F108" i="79" s="1"/>
  <c r="G108" i="79" s="1"/>
  <c r="C109" i="79" s="1"/>
  <c r="A333" i="108" l="1"/>
  <c r="E109" i="79"/>
  <c r="F109" i="79" s="1"/>
  <c r="G109" i="79" s="1"/>
  <c r="C110" i="79" s="1"/>
  <c r="A334" i="108" l="1"/>
  <c r="E110" i="79"/>
  <c r="F110" i="79" s="1"/>
  <c r="G110" i="79" s="1"/>
  <c r="C111" i="79" s="1"/>
  <c r="A335" i="108" l="1"/>
  <c r="E111" i="79"/>
  <c r="F111" i="79" s="1"/>
  <c r="G111" i="79" s="1"/>
  <c r="C112" i="79" s="1"/>
  <c r="A336" i="108" l="1"/>
  <c r="E112" i="79"/>
  <c r="F112" i="79" s="1"/>
  <c r="G112" i="79" s="1"/>
  <c r="C113" i="79" s="1"/>
  <c r="A337" i="108" l="1"/>
  <c r="E113" i="79"/>
  <c r="F113" i="79" s="1"/>
  <c r="G113" i="79" s="1"/>
  <c r="C114" i="79" s="1"/>
  <c r="A338" i="108" l="1"/>
  <c r="E114" i="79"/>
  <c r="F114" i="79" s="1"/>
  <c r="G114" i="79" s="1"/>
  <c r="C115" i="79" s="1"/>
  <c r="A341" i="108" l="1"/>
  <c r="F259" i="108"/>
  <c r="E115" i="79"/>
  <c r="F115" i="79" s="1"/>
  <c r="G115" i="79" s="1"/>
  <c r="C116" i="79" s="1"/>
  <c r="E259" i="108" l="1"/>
  <c r="A342" i="108"/>
  <c r="E116" i="79"/>
  <c r="F116" i="79" s="1"/>
  <c r="G116" i="79" s="1"/>
  <c r="C117" i="79" s="1"/>
  <c r="A343" i="108" l="1"/>
  <c r="E117" i="79"/>
  <c r="F117" i="79" s="1"/>
  <c r="G117" i="79" s="1"/>
  <c r="C118" i="79" s="1"/>
  <c r="A344" i="108" l="1"/>
  <c r="E118" i="79"/>
  <c r="F118" i="79" s="1"/>
  <c r="G118" i="79" s="1"/>
  <c r="C119" i="79" s="1"/>
  <c r="A345" i="108" l="1"/>
  <c r="E119" i="79"/>
  <c r="F119" i="79" s="1"/>
  <c r="G119" i="79" s="1"/>
  <c r="C120" i="79" s="1"/>
  <c r="A346" i="108" l="1"/>
  <c r="E120" i="79"/>
  <c r="F120" i="79" s="1"/>
  <c r="G120" i="79" s="1"/>
  <c r="C121" i="79" s="1"/>
  <c r="A347" i="108" l="1"/>
  <c r="E121" i="79"/>
  <c r="F121" i="79" s="1"/>
  <c r="G121" i="79" s="1"/>
  <c r="C122" i="79" s="1"/>
  <c r="A348" i="108" l="1"/>
  <c r="E122" i="79"/>
  <c r="F122" i="79" s="1"/>
  <c r="G122" i="79" s="1"/>
  <c r="C123" i="79" s="1"/>
  <c r="A349" i="108" l="1"/>
  <c r="E123" i="79"/>
  <c r="F123" i="79" s="1"/>
  <c r="G123" i="79" s="1"/>
  <c r="C124" i="79" s="1"/>
  <c r="A350" i="108" l="1"/>
  <c r="E124" i="79"/>
  <c r="F124" i="79" s="1"/>
  <c r="G124" i="79" s="1"/>
  <c r="C125" i="79" s="1"/>
  <c r="A351" i="108" l="1"/>
  <c r="E125" i="79"/>
  <c r="F125" i="79" s="1"/>
  <c r="G125" i="79" s="1"/>
  <c r="C126" i="79" s="1"/>
  <c r="A352" i="108" l="1"/>
  <c r="E126" i="79"/>
  <c r="F126" i="79" s="1"/>
  <c r="G126" i="79" s="1"/>
  <c r="C127" i="79" s="1"/>
  <c r="A353" i="108" l="1"/>
  <c r="E127" i="79"/>
  <c r="F127" i="79" s="1"/>
  <c r="G127" i="79" s="1"/>
  <c r="C128" i="79" s="1"/>
  <c r="A354" i="108" l="1"/>
  <c r="E128" i="79"/>
  <c r="F128" i="79" s="1"/>
  <c r="G128" i="79" s="1"/>
  <c r="C129" i="79" s="1"/>
  <c r="A355" i="108" l="1"/>
  <c r="E129" i="79"/>
  <c r="F129" i="79" s="1"/>
  <c r="G129" i="79" s="1"/>
  <c r="C130" i="79" s="1"/>
  <c r="A356" i="108" l="1"/>
  <c r="E130" i="79"/>
  <c r="F130" i="79" s="1"/>
  <c r="G130" i="79" s="1"/>
  <c r="C131" i="79" s="1"/>
  <c r="A357" i="108" l="1"/>
  <c r="E131" i="79"/>
  <c r="F131" i="79" s="1"/>
  <c r="G131" i="79" s="1"/>
  <c r="C132" i="79" s="1"/>
  <c r="A358" i="108" l="1"/>
  <c r="E132" i="79"/>
  <c r="F132" i="79" s="1"/>
  <c r="G132" i="79" s="1"/>
  <c r="C133" i="79" s="1"/>
  <c r="A359" i="108" l="1"/>
  <c r="E133" i="79"/>
  <c r="F133" i="79" s="1"/>
  <c r="G133" i="79" s="1"/>
  <c r="C134" i="79" s="1"/>
  <c r="A360" i="108" l="1"/>
  <c r="E134" i="79"/>
  <c r="F134" i="79" s="1"/>
  <c r="G134" i="79" s="1"/>
  <c r="C135" i="79" s="1"/>
  <c r="A361" i="108" l="1"/>
  <c r="E135" i="79"/>
  <c r="F135" i="79" s="1"/>
  <c r="G135" i="79" s="1"/>
  <c r="C136" i="79" s="1"/>
  <c r="A362" i="108" l="1"/>
  <c r="E136" i="79"/>
  <c r="F136" i="79" s="1"/>
  <c r="G136" i="79" s="1"/>
  <c r="C137" i="79" s="1"/>
  <c r="A363" i="108" l="1"/>
  <c r="E137" i="79"/>
  <c r="F137" i="79" s="1"/>
  <c r="G137" i="79" s="1"/>
  <c r="C138" i="79" s="1"/>
  <c r="A364" i="108" l="1"/>
  <c r="E138" i="79"/>
  <c r="F138" i="79" s="1"/>
  <c r="G138" i="79" s="1"/>
  <c r="C139" i="79" s="1"/>
  <c r="A365" i="108" l="1"/>
  <c r="E139" i="79"/>
  <c r="F139" i="79" s="1"/>
  <c r="G139" i="79" s="1"/>
  <c r="C140" i="79" s="1"/>
  <c r="A366" i="108" l="1"/>
  <c r="E140" i="79"/>
  <c r="F140" i="79" s="1"/>
  <c r="G140" i="79" s="1"/>
  <c r="C141" i="79" s="1"/>
  <c r="A367" i="108" l="1"/>
  <c r="E141" i="79"/>
  <c r="F141" i="79" s="1"/>
  <c r="G141" i="79" s="1"/>
  <c r="C142" i="79" s="1"/>
  <c r="A368" i="108" l="1"/>
  <c r="E142" i="79"/>
  <c r="F142" i="79" s="1"/>
  <c r="G142" i="79" s="1"/>
  <c r="C143" i="79" s="1"/>
  <c r="A369" i="108" l="1"/>
  <c r="E143" i="79"/>
  <c r="F143" i="79" s="1"/>
  <c r="G143" i="79" s="1"/>
  <c r="C144" i="79" s="1"/>
  <c r="A370" i="108" l="1"/>
  <c r="E144" i="79"/>
  <c r="F144" i="79" s="1"/>
  <c r="G144" i="79" s="1"/>
  <c r="C145" i="79" s="1"/>
  <c r="A371" i="108" l="1"/>
  <c r="E145" i="79"/>
  <c r="F145" i="79" s="1"/>
  <c r="G145" i="79" s="1"/>
  <c r="C146" i="79" s="1"/>
  <c r="A372" i="108" l="1"/>
  <c r="E146" i="79"/>
  <c r="F146" i="79" s="1"/>
  <c r="G146" i="79" s="1"/>
  <c r="C147" i="79" s="1"/>
  <c r="A373" i="108" l="1"/>
  <c r="E147" i="79"/>
  <c r="F147" i="79" s="1"/>
  <c r="G147" i="79" s="1"/>
  <c r="C148" i="79" s="1"/>
  <c r="A374" i="108" l="1"/>
  <c r="E148" i="79"/>
  <c r="F148" i="79" s="1"/>
  <c r="G148" i="79" s="1"/>
  <c r="C149" i="79" s="1"/>
  <c r="A375" i="108" l="1"/>
  <c r="E149" i="79"/>
  <c r="F149" i="79" s="1"/>
  <c r="G149" i="79" s="1"/>
  <c r="C150" i="79" s="1"/>
  <c r="A376" i="108" l="1"/>
  <c r="E150" i="79"/>
  <c r="F150" i="79" s="1"/>
  <c r="G150" i="79" s="1"/>
  <c r="C151" i="79" s="1"/>
  <c r="A377" i="108" l="1"/>
  <c r="E151" i="79"/>
  <c r="F151" i="79" s="1"/>
  <c r="G151" i="79" s="1"/>
  <c r="C152" i="79" s="1"/>
  <c r="A378" i="108" l="1"/>
  <c r="E152" i="79"/>
  <c r="F152" i="79" s="1"/>
  <c r="G152" i="79" s="1"/>
  <c r="C153" i="79" s="1"/>
  <c r="A379" i="108" l="1"/>
  <c r="E153" i="79"/>
  <c r="F153" i="79" s="1"/>
  <c r="G153" i="79" s="1"/>
  <c r="C154" i="79" s="1"/>
  <c r="A380" i="108" l="1"/>
  <c r="E154" i="79"/>
  <c r="F154" i="79" s="1"/>
  <c r="G154" i="79" s="1"/>
  <c r="C155" i="79" s="1"/>
  <c r="A381" i="108" l="1"/>
  <c r="E155" i="79"/>
  <c r="F155" i="79" s="1"/>
  <c r="G155" i="79" s="1"/>
  <c r="C156" i="79" s="1"/>
  <c r="A382" i="108" l="1"/>
  <c r="E156" i="79"/>
  <c r="F156" i="79" s="1"/>
  <c r="G156" i="79" s="1"/>
  <c r="C157" i="79" s="1"/>
  <c r="A383" i="108" l="1"/>
  <c r="E157" i="79"/>
  <c r="F157" i="79" s="1"/>
  <c r="G157" i="79" s="1"/>
  <c r="C158" i="79" s="1"/>
  <c r="A384" i="108" l="1"/>
  <c r="E158" i="79"/>
  <c r="F158" i="79" s="1"/>
  <c r="G158" i="79" s="1"/>
  <c r="C159" i="79" s="1"/>
  <c r="A385" i="108" l="1"/>
  <c r="E159" i="79"/>
  <c r="F159" i="79" s="1"/>
  <c r="G159" i="79" s="1"/>
  <c r="C160" i="79" s="1"/>
  <c r="A386" i="108" l="1"/>
  <c r="E160" i="79"/>
  <c r="F160" i="79" s="1"/>
  <c r="G160" i="79" s="1"/>
  <c r="C161" i="79" s="1"/>
  <c r="A387" i="108" l="1"/>
  <c r="E161" i="79"/>
  <c r="F161" i="79" s="1"/>
  <c r="G161" i="79" s="1"/>
  <c r="C162" i="79" s="1"/>
  <c r="A388" i="108" l="1"/>
  <c r="E162" i="79"/>
  <c r="F162" i="79" s="1"/>
  <c r="G162" i="79" s="1"/>
  <c r="C163" i="79" s="1"/>
  <c r="A389" i="108" l="1"/>
  <c r="E163" i="79"/>
  <c r="F163" i="79" s="1"/>
  <c r="G163" i="79" s="1"/>
  <c r="C164" i="79" s="1"/>
  <c r="A390" i="108" l="1"/>
  <c r="E164" i="79"/>
  <c r="F164" i="79" s="1"/>
  <c r="G164" i="79" s="1"/>
  <c r="C165" i="79" s="1"/>
  <c r="A391" i="108" l="1"/>
  <c r="E165" i="79"/>
  <c r="F165" i="79" s="1"/>
  <c r="G165" i="79" s="1"/>
  <c r="C166" i="79" s="1"/>
  <c r="A392" i="108" l="1"/>
  <c r="E166" i="79"/>
  <c r="F166" i="79" s="1"/>
  <c r="G166" i="79" s="1"/>
  <c r="C167" i="79" s="1"/>
  <c r="A393" i="108" l="1"/>
  <c r="E167" i="79"/>
  <c r="F167" i="79" s="1"/>
  <c r="G167" i="79" s="1"/>
  <c r="C168" i="79" s="1"/>
  <c r="A394" i="108" l="1"/>
  <c r="E168" i="79"/>
  <c r="F168" i="79" s="1"/>
  <c r="G168" i="79" s="1"/>
  <c r="C169" i="79" s="1"/>
  <c r="A395" i="108" l="1"/>
  <c r="E169" i="79"/>
  <c r="F169" i="79" s="1"/>
  <c r="G169" i="79" s="1"/>
  <c r="C170" i="79" s="1"/>
  <c r="A396" i="108" l="1"/>
  <c r="E170" i="79"/>
  <c r="F170" i="79" s="1"/>
  <c r="G170" i="79" s="1"/>
  <c r="C171" i="79" s="1"/>
  <c r="A397" i="108" l="1"/>
  <c r="E171" i="79"/>
  <c r="F171" i="79" s="1"/>
  <c r="G171" i="79" s="1"/>
  <c r="C172" i="79" s="1"/>
  <c r="A398" i="108" l="1"/>
  <c r="E172" i="79"/>
  <c r="F172" i="79" s="1"/>
  <c r="G172" i="79" s="1"/>
  <c r="C173" i="79" s="1"/>
  <c r="A399" i="108" l="1"/>
  <c r="E173" i="79"/>
  <c r="F173" i="79" s="1"/>
  <c r="G173" i="79" s="1"/>
  <c r="C174" i="79" s="1"/>
  <c r="A400" i="108" l="1"/>
  <c r="E174" i="79"/>
  <c r="F174" i="79" s="1"/>
  <c r="G174" i="79" s="1"/>
  <c r="C175" i="79" s="1"/>
  <c r="A401" i="108" l="1"/>
  <c r="E175" i="79"/>
  <c r="F175" i="79" s="1"/>
  <c r="G175" i="79" s="1"/>
  <c r="C176" i="79" s="1"/>
  <c r="A402" i="108" l="1"/>
  <c r="E176" i="79"/>
  <c r="F176" i="79" s="1"/>
  <c r="G176" i="79" s="1"/>
  <c r="C177" i="79" s="1"/>
  <c r="A403" i="108" l="1"/>
  <c r="E177" i="79"/>
  <c r="F177" i="79" s="1"/>
  <c r="G177" i="79" s="1"/>
  <c r="C178" i="79" s="1"/>
  <c r="A404" i="108" l="1"/>
  <c r="E178" i="79"/>
  <c r="F178" i="79" s="1"/>
  <c r="G178" i="79" s="1"/>
  <c r="C179" i="79" s="1"/>
  <c r="A405" i="108" l="1"/>
  <c r="E179" i="79"/>
  <c r="F179" i="79" s="1"/>
  <c r="G179" i="79" s="1"/>
  <c r="C180" i="79" s="1"/>
  <c r="A406" i="108" l="1"/>
  <c r="E180" i="79"/>
  <c r="F180" i="79" s="1"/>
  <c r="G180" i="79" s="1"/>
  <c r="C181" i="79" s="1"/>
  <c r="A407" i="108" l="1"/>
  <c r="E181" i="79"/>
  <c r="F181" i="79" s="1"/>
  <c r="G181" i="79" s="1"/>
  <c r="C182" i="79" s="1"/>
  <c r="A408" i="108" l="1"/>
  <c r="E182" i="79"/>
  <c r="F182" i="79" s="1"/>
  <c r="G182" i="79" s="1"/>
  <c r="C183" i="79" s="1"/>
  <c r="A409" i="108" l="1"/>
  <c r="E183" i="79"/>
  <c r="F183" i="79" s="1"/>
  <c r="G183" i="79" s="1"/>
  <c r="C184" i="79" s="1"/>
  <c r="A410" i="108" l="1"/>
  <c r="E184" i="79"/>
  <c r="F184" i="79" s="1"/>
  <c r="G184" i="79" s="1"/>
  <c r="C185" i="79" s="1"/>
  <c r="A411" i="108" l="1"/>
  <c r="E185" i="79"/>
  <c r="F185" i="79" s="1"/>
  <c r="G185" i="79" s="1"/>
  <c r="C186" i="79" s="1"/>
  <c r="A412" i="108" l="1"/>
  <c r="E186" i="79"/>
  <c r="F186" i="79" s="1"/>
  <c r="G186" i="79" s="1"/>
  <c r="C187" i="79" s="1"/>
  <c r="A413" i="108" l="1"/>
  <c r="E187" i="79"/>
  <c r="F187" i="79" s="1"/>
  <c r="G187" i="79" s="1"/>
  <c r="C188" i="79" s="1"/>
  <c r="A414" i="108" l="1"/>
  <c r="E188" i="79"/>
  <c r="F188" i="79" s="1"/>
  <c r="G188" i="79" s="1"/>
  <c r="C189" i="79" s="1"/>
  <c r="A415" i="108" l="1"/>
  <c r="E189" i="79"/>
  <c r="F189" i="79" s="1"/>
  <c r="G189" i="79" s="1"/>
  <c r="C190" i="79" s="1"/>
  <c r="A416" i="108" l="1"/>
  <c r="E190" i="79"/>
  <c r="F190" i="79" s="1"/>
  <c r="G190" i="79" s="1"/>
  <c r="C191" i="79" s="1"/>
  <c r="A417" i="108" l="1"/>
  <c r="E191" i="79"/>
  <c r="F191" i="79" s="1"/>
  <c r="G191" i="79" s="1"/>
  <c r="C192" i="79" s="1"/>
  <c r="A418" i="108" l="1"/>
  <c r="E192" i="79"/>
  <c r="F192" i="79" s="1"/>
  <c r="G192" i="79" s="1"/>
  <c r="C193" i="79" s="1"/>
  <c r="A419" i="108" l="1"/>
  <c r="E193" i="79"/>
  <c r="F193" i="79" s="1"/>
  <c r="G193" i="79" s="1"/>
  <c r="C194" i="79" s="1"/>
  <c r="A420" i="108" l="1"/>
  <c r="E194" i="79"/>
  <c r="F194" i="79" s="1"/>
  <c r="G194" i="79" s="1"/>
  <c r="C195" i="79" s="1"/>
  <c r="A421" i="108" l="1"/>
  <c r="E195" i="79"/>
  <c r="F195" i="79" s="1"/>
  <c r="G195" i="79" s="1"/>
  <c r="C196" i="79" s="1"/>
  <c r="A422" i="108" l="1"/>
  <c r="E196" i="79"/>
  <c r="F196" i="79" s="1"/>
  <c r="G196" i="79" s="1"/>
  <c r="C197" i="79" s="1"/>
  <c r="A423" i="108" l="1"/>
  <c r="E197" i="79"/>
  <c r="F197" i="79" s="1"/>
  <c r="G197" i="79" s="1"/>
  <c r="C198" i="79" s="1"/>
  <c r="A424" i="108" l="1"/>
  <c r="E198" i="79"/>
  <c r="F198" i="79" s="1"/>
  <c r="G198" i="79" s="1"/>
  <c r="C199" i="79" s="1"/>
  <c r="A425" i="108" l="1"/>
  <c r="E199" i="79"/>
  <c r="F199" i="79" s="1"/>
  <c r="G199" i="79" s="1"/>
  <c r="C200" i="79" s="1"/>
  <c r="A426" i="108" l="1"/>
  <c r="E200" i="79"/>
  <c r="F200" i="79" s="1"/>
  <c r="G200" i="79" s="1"/>
  <c r="C201" i="79" s="1"/>
  <c r="A427" i="108" l="1"/>
  <c r="E201" i="79"/>
  <c r="F201" i="79" s="1"/>
  <c r="G201" i="79" s="1"/>
  <c r="C202" i="79" s="1"/>
  <c r="A428" i="108" l="1"/>
  <c r="E202" i="79"/>
  <c r="F202" i="79" s="1"/>
  <c r="G202" i="79" s="1"/>
  <c r="C203" i="79" s="1"/>
  <c r="A429" i="108" l="1"/>
  <c r="E203" i="79"/>
  <c r="F203" i="79" s="1"/>
  <c r="G203" i="79" s="1"/>
  <c r="C204" i="79" s="1"/>
  <c r="A430" i="108" l="1"/>
  <c r="E204" i="79"/>
  <c r="F204" i="79" s="1"/>
  <c r="G204" i="79" s="1"/>
  <c r="C205" i="79" s="1"/>
  <c r="A431" i="108" l="1"/>
  <c r="E205" i="79"/>
  <c r="F205" i="79" s="1"/>
  <c r="G205" i="79" s="1"/>
  <c r="C206" i="79" s="1"/>
  <c r="A432" i="108" l="1"/>
  <c r="E206" i="79"/>
  <c r="F206" i="79" s="1"/>
  <c r="G206" i="79" s="1"/>
  <c r="C207" i="79" s="1"/>
  <c r="A433" i="108" l="1"/>
  <c r="E207" i="79"/>
  <c r="F207" i="79" s="1"/>
  <c r="G207" i="79" s="1"/>
  <c r="C208" i="79" s="1"/>
  <c r="A434" i="108" l="1"/>
  <c r="E208" i="79"/>
  <c r="F208" i="79" s="1"/>
  <c r="G208" i="79" s="1"/>
  <c r="C209" i="79" s="1"/>
  <c r="A435" i="108" l="1"/>
  <c r="E209" i="79"/>
  <c r="F209" i="79" s="1"/>
  <c r="G209" i="79" s="1"/>
  <c r="C210" i="79" s="1"/>
  <c r="A436" i="108" l="1"/>
  <c r="E210" i="79"/>
  <c r="F210" i="79" s="1"/>
  <c r="G210" i="79" s="1"/>
  <c r="C211" i="79" s="1"/>
  <c r="A437" i="108" l="1"/>
  <c r="E211" i="79"/>
  <c r="F211" i="79" s="1"/>
  <c r="G211" i="79" s="1"/>
  <c r="C212" i="79" s="1"/>
  <c r="A438" i="108" l="1"/>
  <c r="E212" i="79"/>
  <c r="F212" i="79" s="1"/>
  <c r="G212" i="79" s="1"/>
  <c r="C213" i="79" s="1"/>
  <c r="A439" i="108" l="1"/>
  <c r="E213" i="79"/>
  <c r="F213" i="79" s="1"/>
  <c r="G213" i="79" s="1"/>
  <c r="C214" i="79" s="1"/>
  <c r="A440" i="108" l="1"/>
  <c r="E214" i="79"/>
  <c r="F214" i="79" s="1"/>
  <c r="G214" i="79" s="1"/>
  <c r="C215" i="79" s="1"/>
  <c r="A441" i="108" l="1"/>
  <c r="E215" i="79"/>
  <c r="F215" i="79" s="1"/>
  <c r="G215" i="79" s="1"/>
  <c r="C216" i="79" s="1"/>
  <c r="A442" i="108" l="1"/>
  <c r="E216" i="79"/>
  <c r="F216" i="79" s="1"/>
  <c r="G216" i="79" s="1"/>
  <c r="C217" i="79" s="1"/>
  <c r="A443" i="108" l="1"/>
  <c r="E217" i="79"/>
  <c r="F217" i="79" s="1"/>
  <c r="G217" i="79" s="1"/>
  <c r="C218" i="79" s="1"/>
  <c r="A444" i="108" l="1"/>
  <c r="E218" i="79"/>
  <c r="F218" i="79" s="1"/>
  <c r="G218" i="79" s="1"/>
  <c r="C219" i="79" s="1"/>
  <c r="A447" i="108" l="1"/>
  <c r="F340" i="108"/>
  <c r="E219" i="79"/>
  <c r="F219" i="79" s="1"/>
  <c r="G219" i="79" s="1"/>
  <c r="C220" i="79" s="1"/>
  <c r="E340" i="108" l="1"/>
  <c r="A448" i="108"/>
  <c r="E220" i="79"/>
  <c r="F220" i="79" s="1"/>
  <c r="G220" i="79" s="1"/>
  <c r="C221" i="79" s="1"/>
  <c r="A449" i="108" l="1"/>
  <c r="E221" i="79"/>
  <c r="F221" i="79" s="1"/>
  <c r="G221" i="79" s="1"/>
  <c r="C222" i="79" s="1"/>
  <c r="A450" i="108" l="1"/>
  <c r="E222" i="79"/>
  <c r="F222" i="79" s="1"/>
  <c r="G222" i="79" s="1"/>
  <c r="C223" i="79" s="1"/>
  <c r="A451" i="108" l="1"/>
  <c r="E223" i="79"/>
  <c r="F223" i="79" s="1"/>
  <c r="G223" i="79" s="1"/>
  <c r="C224" i="79" s="1"/>
  <c r="A452" i="108" l="1"/>
  <c r="E224" i="79"/>
  <c r="F224" i="79" s="1"/>
  <c r="G224" i="79" s="1"/>
  <c r="C225" i="79" s="1"/>
  <c r="A453" i="108" l="1"/>
  <c r="E225" i="79"/>
  <c r="F225" i="79" s="1"/>
  <c r="G225" i="79" s="1"/>
  <c r="C226" i="79" s="1"/>
  <c r="A454" i="108" l="1"/>
  <c r="E226" i="79"/>
  <c r="F226" i="79" s="1"/>
  <c r="G226" i="79" s="1"/>
  <c r="C227" i="79" s="1"/>
  <c r="A455" i="108" l="1"/>
  <c r="E227" i="79"/>
  <c r="F227" i="79" s="1"/>
  <c r="G227" i="79" s="1"/>
  <c r="C228" i="79" s="1"/>
  <c r="A456" i="108" l="1"/>
  <c r="E228" i="79"/>
  <c r="F228" i="79" s="1"/>
  <c r="G228" i="79" s="1"/>
  <c r="C229" i="79" s="1"/>
  <c r="A457" i="108" l="1"/>
  <c r="E229" i="79"/>
  <c r="F229" i="79" s="1"/>
  <c r="G229" i="79" s="1"/>
  <c r="C230" i="79" s="1"/>
  <c r="A458" i="108" l="1"/>
  <c r="E230" i="79"/>
  <c r="F230" i="79" s="1"/>
  <c r="G230" i="79" s="1"/>
  <c r="C231" i="79" s="1"/>
  <c r="A459" i="108" l="1"/>
  <c r="E231" i="79"/>
  <c r="F231" i="79" s="1"/>
  <c r="G231" i="79" s="1"/>
  <c r="C232" i="79" s="1"/>
  <c r="A460" i="108" l="1"/>
  <c r="E232" i="79"/>
  <c r="F232" i="79" s="1"/>
  <c r="G232" i="79" s="1"/>
  <c r="C233" i="79" s="1"/>
  <c r="A461" i="108" l="1"/>
  <c r="E233" i="79"/>
  <c r="F233" i="79" s="1"/>
  <c r="G233" i="79" s="1"/>
  <c r="C234" i="79" s="1"/>
  <c r="A462" i="108" l="1"/>
  <c r="E234" i="79"/>
  <c r="F234" i="79" s="1"/>
  <c r="G234" i="79" s="1"/>
  <c r="C235" i="79" s="1"/>
  <c r="A463" i="108" l="1"/>
  <c r="E235" i="79"/>
  <c r="F235" i="79" s="1"/>
  <c r="G235" i="79" s="1"/>
  <c r="C236" i="79" s="1"/>
  <c r="A464" i="108" l="1"/>
  <c r="E236" i="79"/>
  <c r="F236" i="79" s="1"/>
  <c r="G236" i="79" s="1"/>
  <c r="C237" i="79" s="1"/>
  <c r="A465" i="108" l="1"/>
  <c r="E237" i="79"/>
  <c r="F237" i="79" s="1"/>
  <c r="G237" i="79" s="1"/>
  <c r="C238" i="79" s="1"/>
  <c r="A466" i="108" l="1"/>
  <c r="E238" i="79"/>
  <c r="F238" i="79" s="1"/>
  <c r="G238" i="79" s="1"/>
  <c r="C239" i="79" s="1"/>
  <c r="A467" i="108" l="1"/>
  <c r="E239" i="79"/>
  <c r="F239" i="79" s="1"/>
  <c r="G239" i="79" s="1"/>
  <c r="C240" i="79" s="1"/>
  <c r="A468" i="108" l="1"/>
  <c r="E240" i="79"/>
  <c r="F240" i="79" s="1"/>
  <c r="G240" i="79" s="1"/>
  <c r="C241" i="79" s="1"/>
  <c r="A469" i="108" l="1"/>
  <c r="E241" i="79"/>
  <c r="F241" i="79" s="1"/>
  <c r="G241" i="79" s="1"/>
  <c r="C242" i="79" s="1"/>
  <c r="A470" i="108" l="1"/>
  <c r="E242" i="79"/>
  <c r="F242" i="79" s="1"/>
  <c r="G242" i="79" s="1"/>
  <c r="C243" i="79" s="1"/>
  <c r="A471" i="108" l="1"/>
  <c r="E243" i="79"/>
  <c r="F243" i="79" s="1"/>
  <c r="G243" i="79" s="1"/>
  <c r="C244" i="79" s="1"/>
  <c r="A472" i="108" l="1"/>
  <c r="E244" i="79"/>
  <c r="F244" i="79" s="1"/>
  <c r="G244" i="79" s="1"/>
  <c r="C245" i="79" s="1"/>
  <c r="A473" i="108" l="1"/>
  <c r="E245" i="79"/>
  <c r="F245" i="79" s="1"/>
  <c r="G245" i="79" s="1"/>
  <c r="C246" i="79" s="1"/>
  <c r="A474" i="108" l="1"/>
  <c r="E246" i="79"/>
  <c r="F246" i="79" s="1"/>
  <c r="G246" i="79" s="1"/>
  <c r="C247" i="79" s="1"/>
  <c r="A475" i="108" l="1"/>
  <c r="E247" i="79"/>
  <c r="F247" i="79" s="1"/>
  <c r="G247" i="79" s="1"/>
  <c r="C248" i="79" s="1"/>
  <c r="A476" i="108" l="1"/>
  <c r="E248" i="79"/>
  <c r="F248" i="79" s="1"/>
  <c r="G248" i="79" s="1"/>
  <c r="C249" i="79" s="1"/>
  <c r="A479" i="108" l="1"/>
  <c r="F446" i="108"/>
  <c r="E249" i="79"/>
  <c r="F249" i="79" s="1"/>
  <c r="G249" i="79" s="1"/>
  <c r="C250" i="79" s="1"/>
  <c r="E446" i="108" l="1"/>
  <c r="F489" i="108"/>
  <c r="A485" i="108"/>
  <c r="A480" i="108"/>
  <c r="E250" i="79"/>
  <c r="F250" i="79" s="1"/>
  <c r="G250" i="79" s="1"/>
  <c r="C251" i="79" s="1"/>
  <c r="A481" i="108" l="1"/>
  <c r="A486" i="108"/>
  <c r="E251" i="79"/>
  <c r="F251" i="79" s="1"/>
  <c r="G251" i="79" s="1"/>
  <c r="C252" i="79" s="1"/>
  <c r="A487" i="108" l="1"/>
  <c r="A482" i="108"/>
  <c r="E252" i="79"/>
  <c r="F252" i="79" s="1"/>
  <c r="G252" i="79" s="1"/>
  <c r="C253" i="79" s="1"/>
  <c r="E253" i="79" l="1"/>
  <c r="F253" i="79" s="1"/>
  <c r="G253" i="79" s="1"/>
  <c r="C254" i="79" s="1"/>
  <c r="E254" i="79" l="1"/>
  <c r="F254" i="79" s="1"/>
  <c r="G254" i="79" s="1"/>
  <c r="C255" i="79" s="1"/>
  <c r="E255" i="79" l="1"/>
  <c r="F255" i="79" s="1"/>
  <c r="G255" i="79" s="1"/>
  <c r="C256" i="79" s="1"/>
  <c r="E256" i="79" l="1"/>
  <c r="F256" i="79" s="1"/>
  <c r="G256" i="79" s="1"/>
  <c r="C257" i="79" s="1"/>
  <c r="E257" i="79" l="1"/>
  <c r="F257" i="79" s="1"/>
  <c r="G257" i="79" s="1"/>
  <c r="C258" i="79" s="1"/>
  <c r="E258" i="79" l="1"/>
  <c r="F258" i="79" s="1"/>
  <c r="G258" i="79" s="1"/>
  <c r="C259" i="79" s="1"/>
  <c r="E259" i="79" l="1"/>
  <c r="F259" i="79" s="1"/>
  <c r="G259" i="79" s="1"/>
  <c r="C260" i="79" s="1"/>
  <c r="E260" i="79" l="1"/>
  <c r="F260" i="79" s="1"/>
  <c r="G260" i="79" s="1"/>
  <c r="C261" i="79" s="1"/>
  <c r="E261" i="79" l="1"/>
  <c r="F261" i="79" s="1"/>
  <c r="G261" i="79" s="1"/>
  <c r="C262" i="79" s="1"/>
  <c r="E262" i="79" l="1"/>
  <c r="F262" i="79" s="1"/>
  <c r="G262" i="79" s="1"/>
  <c r="C263" i="79" s="1"/>
  <c r="E263" i="79" l="1"/>
  <c r="F263" i="79" s="1"/>
  <c r="G263" i="79" s="1"/>
  <c r="C264" i="79" s="1"/>
  <c r="E264" i="79" l="1"/>
  <c r="F264" i="79" s="1"/>
  <c r="G264" i="79" s="1"/>
  <c r="C265" i="79" s="1"/>
  <c r="E265" i="79" l="1"/>
  <c r="F265" i="79" s="1"/>
  <c r="G265" i="79" s="1"/>
  <c r="C266" i="79" s="1"/>
  <c r="E266" i="79" l="1"/>
  <c r="F266" i="79" s="1"/>
  <c r="G266" i="79" s="1"/>
  <c r="C267" i="79" s="1"/>
  <c r="E267" i="79" l="1"/>
  <c r="F267" i="79" s="1"/>
  <c r="G267" i="79" s="1"/>
  <c r="C268" i="79" s="1"/>
  <c r="E268" i="79" l="1"/>
  <c r="F268" i="79" s="1"/>
  <c r="G268" i="79" s="1"/>
  <c r="C269" i="79" s="1"/>
  <c r="E269" i="79" l="1"/>
  <c r="F269" i="79" s="1"/>
  <c r="G269" i="79" s="1"/>
  <c r="C270" i="79" s="1"/>
  <c r="E270" i="79" l="1"/>
  <c r="F270" i="79" s="1"/>
  <c r="G270" i="79" s="1"/>
  <c r="C271" i="79" s="1"/>
  <c r="E271" i="79" l="1"/>
  <c r="F271" i="79" s="1"/>
  <c r="G271" i="79" s="1"/>
  <c r="C272" i="79" s="1"/>
  <c r="E272" i="79" l="1"/>
  <c r="F272" i="79" s="1"/>
  <c r="G272" i="79" s="1"/>
  <c r="C273" i="79" s="1"/>
  <c r="E273" i="79" l="1"/>
  <c r="F273" i="79" s="1"/>
  <c r="G273" i="79" s="1"/>
  <c r="C274" i="79" s="1"/>
  <c r="E274" i="79" l="1"/>
  <c r="F274" i="79" s="1"/>
  <c r="G274" i="79" s="1"/>
  <c r="C275" i="79" s="1"/>
  <c r="E275" i="79" l="1"/>
  <c r="F275" i="79" s="1"/>
  <c r="G275" i="79" s="1"/>
  <c r="C276" i="79" s="1"/>
  <c r="E276" i="79" l="1"/>
  <c r="F276" i="79" s="1"/>
  <c r="G276" i="79" s="1"/>
  <c r="C277" i="79" s="1"/>
  <c r="E277" i="79" l="1"/>
  <c r="F277" i="79" s="1"/>
  <c r="G277" i="79" s="1"/>
  <c r="C278" i="79" s="1"/>
  <c r="E278" i="79" l="1"/>
  <c r="F278" i="79" s="1"/>
  <c r="G278" i="79" s="1"/>
  <c r="C279" i="79" s="1"/>
  <c r="E279" i="79" l="1"/>
  <c r="F279" i="79" s="1"/>
  <c r="G279" i="79" s="1"/>
  <c r="C280" i="79" s="1"/>
  <c r="E280" i="79" l="1"/>
  <c r="F280" i="79" s="1"/>
  <c r="G280" i="79" s="1"/>
  <c r="C281" i="79" s="1"/>
  <c r="E281" i="79" l="1"/>
  <c r="F281" i="79" s="1"/>
  <c r="G281" i="79" s="1"/>
  <c r="C282" i="79" s="1"/>
  <c r="E282" i="79" l="1"/>
  <c r="F282" i="79" s="1"/>
  <c r="G282" i="79" s="1"/>
  <c r="C283" i="79" s="1"/>
  <c r="E283" i="79" l="1"/>
  <c r="F283" i="79" s="1"/>
  <c r="G283" i="79" s="1"/>
  <c r="C284" i="79" s="1"/>
  <c r="E284" i="79" l="1"/>
  <c r="F284" i="79" s="1"/>
  <c r="G284" i="79" s="1"/>
  <c r="C285" i="79" s="1"/>
  <c r="E285" i="79" l="1"/>
  <c r="F285" i="79" s="1"/>
  <c r="G285" i="79" s="1"/>
  <c r="C286" i="79" s="1"/>
  <c r="E286" i="79" l="1"/>
  <c r="F286" i="79" s="1"/>
  <c r="G286" i="79" s="1"/>
  <c r="C287" i="79" s="1"/>
  <c r="E287" i="79" l="1"/>
  <c r="F287" i="79" s="1"/>
  <c r="G287" i="79" s="1"/>
  <c r="C288" i="79" s="1"/>
  <c r="E288" i="79" l="1"/>
  <c r="F288" i="79" s="1"/>
  <c r="G288" i="79" s="1"/>
  <c r="C289" i="79" s="1"/>
  <c r="E289" i="79" l="1"/>
  <c r="F289" i="79" s="1"/>
  <c r="G289" i="79" s="1"/>
  <c r="C290" i="79" s="1"/>
  <c r="E290" i="79" l="1"/>
  <c r="F290" i="79" s="1"/>
  <c r="G290" i="79" s="1"/>
  <c r="C291" i="79" s="1"/>
  <c r="E291" i="79" l="1"/>
  <c r="F291" i="79" s="1"/>
  <c r="G291" i="79" s="1"/>
  <c r="C292" i="79" s="1"/>
  <c r="E292" i="79" l="1"/>
  <c r="F292" i="79" s="1"/>
  <c r="G292" i="79" s="1"/>
  <c r="C293" i="79" s="1"/>
  <c r="E293" i="79" l="1"/>
  <c r="F293" i="79" s="1"/>
  <c r="G293" i="79" s="1"/>
  <c r="C294" i="79" s="1"/>
  <c r="E294" i="79" l="1"/>
  <c r="F294" i="79" s="1"/>
  <c r="G294" i="79" s="1"/>
  <c r="C295" i="79" s="1"/>
  <c r="E295" i="79" l="1"/>
  <c r="F295" i="79" s="1"/>
  <c r="G295" i="79" s="1"/>
  <c r="C296" i="79" s="1"/>
  <c r="E296" i="79" l="1"/>
  <c r="F296" i="79" s="1"/>
  <c r="G296" i="79" s="1"/>
  <c r="C297" i="79" s="1"/>
  <c r="E297" i="79" l="1"/>
  <c r="F297" i="79" s="1"/>
  <c r="G297" i="79" s="1"/>
  <c r="C298" i="79" s="1"/>
  <c r="E298" i="79" l="1"/>
  <c r="F298" i="79" s="1"/>
  <c r="G298" i="79" s="1"/>
  <c r="C299" i="79" s="1"/>
  <c r="E299" i="79" l="1"/>
  <c r="F299" i="79" s="1"/>
  <c r="G299" i="79" s="1"/>
  <c r="C300" i="79" s="1"/>
  <c r="E300" i="79" l="1"/>
  <c r="F300" i="79" s="1"/>
  <c r="G300" i="79" s="1"/>
  <c r="C301" i="79" s="1"/>
  <c r="E301" i="79" l="1"/>
  <c r="F301" i="79" s="1"/>
  <c r="G301" i="79" s="1"/>
  <c r="C302" i="79" s="1"/>
  <c r="E302" i="79" l="1"/>
  <c r="F302" i="79" s="1"/>
  <c r="G302" i="79" s="1"/>
  <c r="C303" i="79" s="1"/>
  <c r="E303" i="79" l="1"/>
  <c r="F303" i="79" s="1"/>
  <c r="G303" i="79" s="1"/>
  <c r="C304" i="79" s="1"/>
  <c r="E304" i="79" l="1"/>
  <c r="F304" i="79" s="1"/>
  <c r="G304" i="79" s="1"/>
  <c r="C305" i="79" s="1"/>
  <c r="E305" i="79" l="1"/>
  <c r="F305" i="79" s="1"/>
  <c r="G305" i="79" s="1"/>
  <c r="C306" i="79" s="1"/>
  <c r="E306" i="79" l="1"/>
  <c r="F306" i="79" s="1"/>
  <c r="G306" i="79" s="1"/>
  <c r="C307" i="79" s="1"/>
  <c r="E307" i="79" l="1"/>
  <c r="F307" i="79" s="1"/>
  <c r="G307" i="79" s="1"/>
  <c r="C308" i="79" s="1"/>
  <c r="E308" i="79" l="1"/>
  <c r="F308" i="79" s="1"/>
  <c r="G308" i="79" s="1"/>
  <c r="C309" i="79" s="1"/>
  <c r="E309" i="79" l="1"/>
  <c r="F309" i="79" s="1"/>
  <c r="G309" i="79" s="1"/>
  <c r="C310" i="79" s="1"/>
  <c r="E310" i="79" l="1"/>
  <c r="F310" i="79" s="1"/>
  <c r="G310" i="79" s="1"/>
  <c r="C311" i="79" s="1"/>
  <c r="E311" i="79" l="1"/>
  <c r="F311" i="79" s="1"/>
  <c r="G311" i="79" s="1"/>
  <c r="C312" i="79" s="1"/>
  <c r="E312" i="79" l="1"/>
  <c r="F312" i="79" s="1"/>
  <c r="G312" i="79" s="1"/>
  <c r="C313" i="79" s="1"/>
  <c r="E313" i="79" l="1"/>
  <c r="F313" i="79" s="1"/>
  <c r="G313" i="79" s="1"/>
  <c r="C314" i="79" s="1"/>
  <c r="E314" i="79" l="1"/>
  <c r="F314" i="79" s="1"/>
  <c r="G314" i="79" s="1"/>
  <c r="C315" i="79" s="1"/>
  <c r="E315" i="79" l="1"/>
  <c r="F315" i="79" s="1"/>
  <c r="G315" i="79" s="1"/>
  <c r="C316" i="79" s="1"/>
  <c r="E316" i="79" l="1"/>
  <c r="F316" i="79" s="1"/>
  <c r="G316" i="79" s="1"/>
  <c r="C317" i="79" s="1"/>
  <c r="E317" i="79" l="1"/>
  <c r="F317" i="79" s="1"/>
  <c r="G317" i="79" s="1"/>
  <c r="C318" i="79" s="1"/>
  <c r="E318" i="79" l="1"/>
  <c r="F318" i="79" s="1"/>
  <c r="G318" i="79" s="1"/>
  <c r="C319" i="79" s="1"/>
  <c r="E319" i="79" l="1"/>
  <c r="F319" i="79" s="1"/>
  <c r="G319" i="79" s="1"/>
  <c r="C320" i="79" s="1"/>
  <c r="E320" i="79" l="1"/>
  <c r="F320" i="79" s="1"/>
  <c r="G320" i="79" s="1"/>
  <c r="C321" i="79" s="1"/>
  <c r="E321" i="79" l="1"/>
  <c r="F321" i="79" s="1"/>
  <c r="G321" i="79" s="1"/>
  <c r="C322" i="79" s="1"/>
  <c r="E322" i="79" l="1"/>
  <c r="F322" i="79" s="1"/>
  <c r="G322" i="79" s="1"/>
  <c r="C323" i="79" s="1"/>
  <c r="E323" i="79" l="1"/>
  <c r="F323" i="79" s="1"/>
  <c r="G323" i="79" s="1"/>
  <c r="C324" i="79" s="1"/>
  <c r="E324" i="79" l="1"/>
  <c r="F324" i="79" s="1"/>
  <c r="G324" i="79" s="1"/>
  <c r="C325" i="79" s="1"/>
  <c r="E325" i="79" l="1"/>
  <c r="F325" i="79" s="1"/>
  <c r="G325" i="79" s="1"/>
  <c r="C326" i="79" s="1"/>
  <c r="E326" i="79" l="1"/>
  <c r="F326" i="79" s="1"/>
  <c r="G326" i="79" s="1"/>
  <c r="C327" i="79" s="1"/>
  <c r="E327" i="79" l="1"/>
  <c r="F327" i="79" s="1"/>
  <c r="G327" i="79" s="1"/>
  <c r="C328" i="79" s="1"/>
  <c r="E328" i="79" l="1"/>
  <c r="F328" i="79" s="1"/>
  <c r="G328" i="79" s="1"/>
  <c r="C329" i="79" s="1"/>
  <c r="E329" i="79" l="1"/>
  <c r="F329" i="79" s="1"/>
  <c r="G329" i="79" s="1"/>
  <c r="C330" i="79" s="1"/>
  <c r="E330" i="79" l="1"/>
  <c r="F330" i="79" s="1"/>
  <c r="G330" i="79" s="1"/>
  <c r="C331" i="79" s="1"/>
  <c r="E331" i="79" l="1"/>
  <c r="F331" i="79" s="1"/>
  <c r="G331" i="79" s="1"/>
  <c r="C332" i="79" s="1"/>
  <c r="E332" i="79" l="1"/>
  <c r="F332" i="79" s="1"/>
  <c r="G332" i="79" s="1"/>
  <c r="C333" i="79" s="1"/>
  <c r="E333" i="79" l="1"/>
  <c r="F333" i="79" s="1"/>
  <c r="G333" i="79" s="1"/>
  <c r="C334" i="79" s="1"/>
  <c r="E334" i="79" l="1"/>
  <c r="F334" i="79" s="1"/>
  <c r="G334" i="79" s="1"/>
  <c r="C335" i="79" s="1"/>
  <c r="E335" i="79" l="1"/>
  <c r="F335" i="79" s="1"/>
  <c r="G335" i="79" s="1"/>
  <c r="C336" i="79" s="1"/>
  <c r="E336" i="79" l="1"/>
  <c r="F336" i="79" s="1"/>
  <c r="G336" i="79" s="1"/>
  <c r="C337" i="79" s="1"/>
  <c r="E337" i="79" l="1"/>
  <c r="F337" i="79" s="1"/>
  <c r="G337" i="79" s="1"/>
  <c r="C338" i="79" s="1"/>
  <c r="E338" i="79" l="1"/>
  <c r="F338" i="79" s="1"/>
  <c r="G338" i="79" s="1"/>
  <c r="C339" i="79" s="1"/>
  <c r="E339" i="79" l="1"/>
  <c r="F339" i="79" s="1"/>
  <c r="G339" i="79" s="1"/>
  <c r="C340" i="79" s="1"/>
  <c r="E340" i="79" l="1"/>
  <c r="F340" i="79" s="1"/>
  <c r="G340" i="79" s="1"/>
  <c r="C341" i="79" s="1"/>
  <c r="E341" i="79" l="1"/>
  <c r="F341" i="79" s="1"/>
  <c r="G341" i="79" s="1"/>
  <c r="C342" i="79" s="1"/>
  <c r="E342" i="79" l="1"/>
  <c r="F342" i="79" s="1"/>
  <c r="G342" i="79" s="1"/>
  <c r="C343" i="79" s="1"/>
  <c r="E343" i="79" l="1"/>
  <c r="F343" i="79" s="1"/>
  <c r="G343" i="79" s="1"/>
  <c r="C344" i="79" s="1"/>
  <c r="E344" i="79" l="1"/>
  <c r="F344" i="79" s="1"/>
  <c r="G344" i="79" s="1"/>
  <c r="C345" i="79" s="1"/>
  <c r="E345" i="79" l="1"/>
  <c r="F345" i="79" s="1"/>
  <c r="G345" i="79" s="1"/>
  <c r="C346" i="79" s="1"/>
  <c r="E346" i="79" l="1"/>
  <c r="F346" i="79" s="1"/>
  <c r="G346" i="79" s="1"/>
  <c r="C347" i="79" s="1"/>
  <c r="E347" i="79" l="1"/>
  <c r="F347" i="79" s="1"/>
  <c r="G347" i="79" s="1"/>
  <c r="C348" i="79" s="1"/>
  <c r="E348" i="79" l="1"/>
  <c r="F348" i="79" s="1"/>
  <c r="G348" i="79" s="1"/>
  <c r="C349" i="79" s="1"/>
  <c r="E349" i="79" l="1"/>
  <c r="F349" i="79" s="1"/>
  <c r="G349" i="79" s="1"/>
  <c r="C350" i="79" s="1"/>
  <c r="E350" i="79" l="1"/>
  <c r="F350" i="79" s="1"/>
  <c r="G350" i="79" s="1"/>
  <c r="C351" i="79" s="1"/>
  <c r="E351" i="79" l="1"/>
  <c r="F351" i="79" s="1"/>
  <c r="G351" i="79" s="1"/>
  <c r="C352" i="79" s="1"/>
  <c r="E352" i="79" l="1"/>
  <c r="F352" i="79" s="1"/>
  <c r="G352" i="79" s="1"/>
  <c r="C353" i="79" s="1"/>
  <c r="E353" i="79" l="1"/>
  <c r="F353" i="79" s="1"/>
  <c r="G353" i="79" s="1"/>
  <c r="C354" i="79" s="1"/>
  <c r="E354" i="79" l="1"/>
  <c r="F354" i="79" s="1"/>
  <c r="G354" i="79" s="1"/>
  <c r="C355" i="79" s="1"/>
  <c r="E355" i="79" l="1"/>
  <c r="F355" i="79" s="1"/>
  <c r="G355" i="79" s="1"/>
  <c r="C356" i="79" s="1"/>
  <c r="E356" i="79" l="1"/>
  <c r="F356" i="79" s="1"/>
  <c r="G356" i="79" s="1"/>
  <c r="C357" i="79" s="1"/>
  <c r="E357" i="79" l="1"/>
  <c r="F357" i="79" s="1"/>
  <c r="G357" i="79" s="1"/>
  <c r="C358" i="79" s="1"/>
  <c r="E358" i="79" l="1"/>
  <c r="F358" i="79" s="1"/>
  <c r="G358" i="79" s="1"/>
  <c r="C359" i="79" s="1"/>
  <c r="E359" i="79" l="1"/>
  <c r="F359" i="79" s="1"/>
  <c r="G359" i="79" s="1"/>
  <c r="C360" i="79" s="1"/>
  <c r="E360" i="79" l="1"/>
  <c r="F360" i="79" s="1"/>
  <c r="G360" i="79" s="1"/>
  <c r="C361" i="79" s="1"/>
  <c r="E361" i="79" l="1"/>
  <c r="F361" i="79" s="1"/>
  <c r="G361" i="79" s="1"/>
  <c r="C362" i="79" s="1"/>
  <c r="E362" i="79" l="1"/>
  <c r="F362" i="79" s="1"/>
  <c r="G362" i="79" s="1"/>
  <c r="C363" i="79" s="1"/>
  <c r="E363" i="79" l="1"/>
  <c r="F363" i="79" s="1"/>
  <c r="G363" i="79" s="1"/>
  <c r="C364" i="79" s="1"/>
  <c r="E364" i="79" l="1"/>
  <c r="F364" i="79" s="1"/>
  <c r="G364" i="79" s="1"/>
  <c r="C365" i="79" s="1"/>
  <c r="E365" i="79" l="1"/>
  <c r="F365" i="79" s="1"/>
  <c r="G365" i="79" s="1"/>
  <c r="C366" i="79" s="1"/>
  <c r="E366" i="79" l="1"/>
  <c r="F366" i="79" s="1"/>
  <c r="G366" i="79" s="1"/>
  <c r="C367" i="79" s="1"/>
  <c r="E367" i="79" l="1"/>
  <c r="F367" i="79" s="1"/>
  <c r="G367" i="79" s="1"/>
  <c r="C368" i="79" s="1"/>
  <c r="E368" i="79" l="1"/>
  <c r="F368" i="79" s="1"/>
  <c r="G368" i="79" s="1"/>
  <c r="C369" i="79" s="1"/>
  <c r="E369" i="79" l="1"/>
  <c r="F369" i="79" s="1"/>
  <c r="G369" i="79" s="1"/>
  <c r="C370" i="79" s="1"/>
  <c r="E370" i="79" l="1"/>
  <c r="F370" i="79" s="1"/>
  <c r="G370" i="79" s="1"/>
</calcChain>
</file>

<file path=xl/comments1.xml><?xml version="1.0" encoding="utf-8"?>
<comments xmlns="http://schemas.openxmlformats.org/spreadsheetml/2006/main">
  <authors>
    <author>Boni</author>
  </authors>
  <commentList>
    <comment ref="D19" authorId="0" shapeId="0">
      <text>
        <r>
          <rPr>
            <b/>
            <sz val="9"/>
            <color indexed="81"/>
            <rFont val="Tahoma"/>
            <family val="2"/>
          </rPr>
          <t xml:space="preserve">If #NAME? Error
</t>
        </r>
        <r>
          <rPr>
            <sz val="9"/>
            <color indexed="81"/>
            <rFont val="Tahoma"/>
            <family val="2"/>
          </rPr>
          <t>Must have Excel 2007 to use this function.</t>
        </r>
      </text>
    </comment>
  </commentList>
</comments>
</file>

<file path=xl/sharedStrings.xml><?xml version="1.0" encoding="utf-8"?>
<sst xmlns="http://schemas.openxmlformats.org/spreadsheetml/2006/main" count="11148" uniqueCount="3073">
  <si>
    <t>Employee</t>
  </si>
  <si>
    <t>Hire date</t>
  </si>
  <si>
    <t>Smith, John</t>
  </si>
  <si>
    <t>Jones, Joe</t>
  </si>
  <si>
    <t>Garcia, Jorge</t>
  </si>
  <si>
    <t>Singh, Lisa</t>
  </si>
  <si>
    <t>Years Employed</t>
  </si>
  <si>
    <t>Yes</t>
  </si>
  <si>
    <t>No</t>
  </si>
  <si>
    <t>Deduction</t>
  </si>
  <si>
    <t>In this sample, the IF function is checking to see if they have signed up for insurance.  If they have, the deduction amount is entered.</t>
  </si>
  <si>
    <t>IF</t>
  </si>
  <si>
    <t>Team</t>
  </si>
  <si>
    <t>A</t>
  </si>
  <si>
    <t>B</t>
  </si>
  <si>
    <t>C</t>
  </si>
  <si>
    <t>D</t>
  </si>
  <si>
    <t>Meeting Day</t>
  </si>
  <si>
    <t>Teams A and C meet on Tuesday, Teams B and D meet on Thursday.  We want to list the meeting days in column D.</t>
  </si>
  <si>
    <t>The IF function is determining each employees earned vacation days.  If they have worked for more than a year, they have earned 5 vacation days plus one day for each additional full year.</t>
  </si>
  <si>
    <t>PMT</t>
  </si>
  <si>
    <t>PMT Function Samples</t>
  </si>
  <si>
    <t>The PMT function calculates the payment for a loan based on constant payments and a constant interest rate.</t>
  </si>
  <si>
    <t>Payment:</t>
  </si>
  <si>
    <t>Loan Amount</t>
  </si>
  <si>
    <t>Interest Rate</t>
  </si>
  <si>
    <t>Number of years</t>
  </si>
  <si>
    <t>Payments per year</t>
  </si>
  <si>
    <t>Total Payments</t>
  </si>
  <si>
    <t>Balloon Payment</t>
  </si>
  <si>
    <t>Monthly Deposit to Reach Savings Goal</t>
  </si>
  <si>
    <t>Savings Goal</t>
  </si>
  <si>
    <t>Payment for Loan w/Balloon Payment</t>
  </si>
  <si>
    <t>Payment for Home Loan</t>
  </si>
  <si>
    <t>Payment for Home Loan in Canada</t>
  </si>
  <si>
    <t>This time we are depositing money to reach a savings goal, so the pv is 0 and the fv is the amount we want to have in</t>
  </si>
  <si>
    <t>savings at the end of the given number of years.</t>
  </si>
  <si>
    <t>((1+(B37/2))^2)^(1/12)-1</t>
  </si>
  <si>
    <t>Canadians have this complicated compounded semi-annually thing so we can't just divide by the number of periods but</t>
  </si>
  <si>
    <t>have to use this fancier calculation for the rate argument:</t>
  </si>
  <si>
    <t>Compared to our first loan calculation, you can see that it actually saves them a bit, so is worth the extra work.</t>
  </si>
  <si>
    <t>and payments are made at the end of the month, the last two arguments are not required.</t>
  </si>
  <si>
    <t>Date Functions</t>
  </si>
  <si>
    <t>Basic Math with Dates</t>
  </si>
  <si>
    <t>Difference in number of days</t>
  </si>
  <si>
    <t>Add days to a date</t>
  </si>
  <si>
    <t>is the date 90 days after today.</t>
  </si>
  <si>
    <t>is the number of days between today and 1/1/08.</t>
  </si>
  <si>
    <t>Function Syntax</t>
  </si>
  <si>
    <t>EDATE</t>
  </si>
  <si>
    <t>Add number of months to a date.</t>
  </si>
  <si>
    <t>EOMONTH</t>
  </si>
  <si>
    <t>Gives the end of month date for a date plus a given number of months.</t>
  </si>
  <si>
    <t>is the last day in this month.</t>
  </si>
  <si>
    <t>is next months end of month date.</t>
  </si>
  <si>
    <t>is the end of month date for three months from now.</t>
  </si>
  <si>
    <t>NETWORKDAYS</t>
  </si>
  <si>
    <t>Returns the number of full workdays between two dates.</t>
  </si>
  <si>
    <t>Holidays is an optional range containing dates to exclude.</t>
  </si>
  <si>
    <t>WORKDAY</t>
  </si>
  <si>
    <t>Returns a date that is the given number of working days before or after a date.</t>
  </si>
  <si>
    <t>is the date 5 work days before today.</t>
  </si>
  <si>
    <t>is the date 45 work days from today.</t>
  </si>
  <si>
    <t>Here are a few you might find useful.</t>
  </si>
  <si>
    <t xml:space="preserve"> is the number of workdays between these dates</t>
  </si>
  <si>
    <t>is the number of workdays between these dates.</t>
  </si>
  <si>
    <t>Information from Dates</t>
  </si>
  <si>
    <t>DAY</t>
  </si>
  <si>
    <t>Returns the day of a date, a number between 1 and 31.</t>
  </si>
  <si>
    <t>=DAY(A32)</t>
  </si>
  <si>
    <t>Function</t>
  </si>
  <si>
    <t>DAY(valid date)</t>
  </si>
  <si>
    <t>MONTH</t>
  </si>
  <si>
    <t>Returns the month, a number between 1 and 12.</t>
  </si>
  <si>
    <t>=MONTH(A35)</t>
  </si>
  <si>
    <t>MONTH(valid date)</t>
  </si>
  <si>
    <t>YEAR</t>
  </si>
  <si>
    <t>Returns the year, a number between 1900 and 9999.</t>
  </si>
  <si>
    <t>=YEAR(A38)</t>
  </si>
  <si>
    <t>YEAR(valid date)</t>
  </si>
  <si>
    <t>TODAY</t>
  </si>
  <si>
    <t>Returns the current date.</t>
  </si>
  <si>
    <t>=TODAY()</t>
  </si>
  <si>
    <t>TODAY()</t>
  </si>
  <si>
    <t>Lookup Functions</t>
  </si>
  <si>
    <t>=EDATE(A15,B15)</t>
  </si>
  <si>
    <t>=EOMONTH(A18,B18)</t>
  </si>
  <si>
    <t>=EOMONTH(A19,B19)</t>
  </si>
  <si>
    <t>=EOMONTH(A20,B20)</t>
  </si>
  <si>
    <t>=NETWORKDAYS(A23,B23)</t>
  </si>
  <si>
    <t>=NETWORKDAYS(A24,B24)</t>
  </si>
  <si>
    <t>=WORKDAY(A27,-B27)</t>
  </si>
  <si>
    <t>=WORKDAY(A28,B28)</t>
  </si>
  <si>
    <t>=A8-B8</t>
  </si>
  <si>
    <t>=A11+B11</t>
  </si>
  <si>
    <t>Formula in Column C</t>
  </si>
  <si>
    <t>Function in Column C</t>
  </si>
  <si>
    <t>Function in Column B</t>
  </si>
  <si>
    <t>HLOOKUP</t>
  </si>
  <si>
    <t>VLOOKUP</t>
  </si>
  <si>
    <t>Description</t>
  </si>
  <si>
    <t>Searches for a value in the top row of a table of values, and then returns a value in the same column from a row you specify.</t>
  </si>
  <si>
    <t>Jan</t>
  </si>
  <si>
    <t>Feb</t>
  </si>
  <si>
    <t>Mar</t>
  </si>
  <si>
    <t>HLOOKUP(lookup value, table, row num, range lookup)</t>
  </si>
  <si>
    <t>Lookup value is the value to find in the first row.</t>
  </si>
  <si>
    <t>Table is the data table to use for the lookup.</t>
  </si>
  <si>
    <t>Lookup value</t>
  </si>
  <si>
    <t>Row num</t>
  </si>
  <si>
    <t>Returned</t>
  </si>
  <si>
    <t>=HLOOKUP(B6,D6:G9,B7,0)</t>
  </si>
  <si>
    <t>Function in B9:</t>
  </si>
  <si>
    <t>E</t>
  </si>
  <si>
    <t>There are a number of functions in Excel that allow you to search for information in a table of data.  Here are the two most used lookup functions.</t>
  </si>
  <si>
    <t>Searches for a value in the first column of a table of values, and then returns a value in the same row from a column you specify.</t>
  </si>
  <si>
    <t>Column num</t>
  </si>
  <si>
    <t>Lookup value is the value to find in the first column.</t>
  </si>
  <si>
    <t>VLOOKUP(lookup value, table, col num, range lookup)</t>
  </si>
  <si>
    <t>Exact Match</t>
  </si>
  <si>
    <t>Blue</t>
  </si>
  <si>
    <t>Green</t>
  </si>
  <si>
    <t>Red</t>
  </si>
  <si>
    <t>Yellow</t>
  </si>
  <si>
    <t>=HLOOKUP(A11,D11:G12,2)</t>
  </si>
  <si>
    <t>=HLOOKUP(A12,D11:G12,2)</t>
  </si>
  <si>
    <t>=HLOOKUP(A13,D11:G12,2)</t>
  </si>
  <si>
    <t>Function in B20:</t>
  </si>
  <si>
    <t>=VLOOKUP(B17,D17:G20,B18,0)</t>
  </si>
  <si>
    <t>=VLOOKUP(A22,$D$22:$E$26,2)</t>
  </si>
  <si>
    <t>=VLOOKUP(A23,$D$22:$E$26,2)</t>
  </si>
  <si>
    <t>=VLOOKUP(A24,$D$22:$E$26,2)</t>
  </si>
  <si>
    <t>=VLOOKUP(A25,$D$22:$E$26,2)</t>
  </si>
  <si>
    <t>=VLOOKUP(A26,$D$22:$E$26,2)</t>
  </si>
  <si>
    <t>Time Functions</t>
  </si>
  <si>
    <t>Math with Times</t>
  </si>
  <si>
    <t>Difference in time</t>
  </si>
  <si>
    <t>is the difference between the given times.</t>
  </si>
  <si>
    <t>=B8-A8</t>
  </si>
  <si>
    <t>Add Times</t>
  </si>
  <si>
    <t>is the total of the hours.</t>
  </si>
  <si>
    <t>Format for Total</t>
  </si>
  <si>
    <t>[h]:mm;@</t>
  </si>
  <si>
    <t>Time in Excel is actually stored as a decimal number ranging from 0 (zero) to 0.99999999, representing the times from 0:00:00 (12:00:00 AM) to 23:59:59 (11:59:59 P.M.).</t>
  </si>
  <si>
    <t>As with dates, you can do standard math, adding and subtracting hours, easily with Excel.  Functions are available for when you need to do more.</t>
  </si>
  <si>
    <t>HOUR</t>
  </si>
  <si>
    <t>=HOUR(A15)</t>
  </si>
  <si>
    <t>HOUR(valid time)</t>
  </si>
  <si>
    <t>MINUTE</t>
  </si>
  <si>
    <t>Returns the hour of a time. The hour is given as an integer, between 0 (12:00 A.M.) and 23 (11:00 P.M.).</t>
  </si>
  <si>
    <t>Returns the minutes of a time. The minute is given as an integer, between 0 and 59.</t>
  </si>
  <si>
    <t>=MINUTE(A18)</t>
  </si>
  <si>
    <t>MINUTE(valid time)</t>
  </si>
  <si>
    <t>SECOND(valid time)</t>
  </si>
  <si>
    <t>SECOND</t>
  </si>
  <si>
    <t>Returns the seconds of a time. The second is given as an integer between 0 (zero) and 59.</t>
  </si>
  <si>
    <t>=SECOND(A21)</t>
  </si>
  <si>
    <t>TIME</t>
  </si>
  <si>
    <t>Shown in time and general (decimal) format.</t>
  </si>
  <si>
    <t>=TIME(A24,A25,A26)</t>
  </si>
  <si>
    <t>Returns the decimal number of the time represented by a text string.</t>
  </si>
  <si>
    <t>TIMEVALUE(time in text format)</t>
  </si>
  <si>
    <t>2:35:27 PM</t>
  </si>
  <si>
    <t>TIMEVALUE</t>
  </si>
  <si>
    <t>NOW</t>
  </si>
  <si>
    <t>NOW()</t>
  </si>
  <si>
    <t>No arguments.</t>
  </si>
  <si>
    <t>Returns the current date and time.</t>
  </si>
  <si>
    <t>The number to the left of the decimal is the date value and the number to the right of the decimal is the time.</t>
  </si>
  <si>
    <t>Date/Time Format</t>
  </si>
  <si>
    <t>General Format</t>
  </si>
  <si>
    <t>Returns the decimal number for a specific hour, minute, and second combination.</t>
  </si>
  <si>
    <t>=TIMEVALUE(A29)</t>
  </si>
  <si>
    <t>=NOW()</t>
  </si>
  <si>
    <t>Other Functions</t>
  </si>
  <si>
    <t>City</t>
  </si>
  <si>
    <t>State</t>
  </si>
  <si>
    <t>Name</t>
  </si>
  <si>
    <t>Price</t>
  </si>
  <si>
    <t>Customer Name</t>
  </si>
  <si>
    <t>Customers</t>
  </si>
  <si>
    <t>ID</t>
  </si>
  <si>
    <t>Address</t>
  </si>
  <si>
    <t>Zip Code</t>
  </si>
  <si>
    <t>Phone</t>
  </si>
  <si>
    <t>Vickie</t>
  </si>
  <si>
    <t>Keane</t>
  </si>
  <si>
    <t>Tony</t>
  </si>
  <si>
    <t>Mai</t>
  </si>
  <si>
    <t>William</t>
  </si>
  <si>
    <t>Getty</t>
  </si>
  <si>
    <t>Myra</t>
  </si>
  <si>
    <t>Bruner</t>
  </si>
  <si>
    <t>Cindy</t>
  </si>
  <si>
    <t>Barrington</t>
  </si>
  <si>
    <t>Ella</t>
  </si>
  <si>
    <t>Arteaga</t>
  </si>
  <si>
    <t>Bryan</t>
  </si>
  <si>
    <t>Givens</t>
  </si>
  <si>
    <t>Geneva</t>
  </si>
  <si>
    <t>Haller</t>
  </si>
  <si>
    <t>Jill</t>
  </si>
  <si>
    <t>Caruso</t>
  </si>
  <si>
    <t>Kara</t>
  </si>
  <si>
    <t>Charlton</t>
  </si>
  <si>
    <t>Last Name</t>
  </si>
  <si>
    <t>First Name</t>
  </si>
  <si>
    <t>47 Carolyn Avenue</t>
  </si>
  <si>
    <t>732 Oregon Street</t>
  </si>
  <si>
    <t>81 Columbus Road</t>
  </si>
  <si>
    <t>182 Birchwood Street</t>
  </si>
  <si>
    <t>271 Latrell Road</t>
  </si>
  <si>
    <t>72 White Eagle Street</t>
  </si>
  <si>
    <t>985 Lisa Street</t>
  </si>
  <si>
    <t>524 Ridge Road</t>
  </si>
  <si>
    <t>52 Hiroko Street</t>
  </si>
  <si>
    <t>58 Langley Avenue</t>
  </si>
  <si>
    <t>Middleton</t>
  </si>
  <si>
    <t>Madison</t>
  </si>
  <si>
    <t>Fayetteville</t>
  </si>
  <si>
    <t>Buena Vista</t>
  </si>
  <si>
    <t>Refugio</t>
  </si>
  <si>
    <t>Baltimore</t>
  </si>
  <si>
    <t>Aurora</t>
  </si>
  <si>
    <t>Spring Lake</t>
  </si>
  <si>
    <t>NC</t>
  </si>
  <si>
    <t>(910) 473-7752</t>
  </si>
  <si>
    <t>(910) 350-9309</t>
  </si>
  <si>
    <t>(910) 475-4153</t>
  </si>
  <si>
    <t>(910) 331-5052</t>
  </si>
  <si>
    <t>(910) 428-4137</t>
  </si>
  <si>
    <t>(910) 413-4728</t>
  </si>
  <si>
    <t>(910) 456-5660</t>
  </si>
  <si>
    <t>(910) 357-3062</t>
  </si>
  <si>
    <t>(910) 420-9063</t>
  </si>
  <si>
    <t>(910) 384-4911</t>
  </si>
  <si>
    <t>Products</t>
  </si>
  <si>
    <t>Item No</t>
  </si>
  <si>
    <t>Widget</t>
  </si>
  <si>
    <t>Gadget</t>
  </si>
  <si>
    <t>Thingamagig</t>
  </si>
  <si>
    <t>Whatsit</t>
  </si>
  <si>
    <t>Thingy</t>
  </si>
  <si>
    <t>Dohickey</t>
  </si>
  <si>
    <t>Doodad</t>
  </si>
  <si>
    <t>Geehaw</t>
  </si>
  <si>
    <t>Wadget</t>
  </si>
  <si>
    <t>Yaknow</t>
  </si>
  <si>
    <t>Tables for VLOOKUP Sample</t>
  </si>
  <si>
    <t>COUNTIF</t>
  </si>
  <si>
    <t>SUMIF</t>
  </si>
  <si>
    <t>AVERAGEIF</t>
  </si>
  <si>
    <t>AVERAGE</t>
  </si>
  <si>
    <t>MAX</t>
  </si>
  <si>
    <t>MIN</t>
  </si>
  <si>
    <t>COUNT</t>
  </si>
  <si>
    <t>COUNTA</t>
  </si>
  <si>
    <t>Text Functions</t>
  </si>
  <si>
    <t>LEFT</t>
  </si>
  <si>
    <t>MID</t>
  </si>
  <si>
    <t>RIGHT</t>
  </si>
  <si>
    <t>FIND</t>
  </si>
  <si>
    <t>LEN</t>
  </si>
  <si>
    <t>Part Number</t>
  </si>
  <si>
    <t>Type</t>
  </si>
  <si>
    <t>Department</t>
  </si>
  <si>
    <t>Cost</t>
  </si>
  <si>
    <t>Quantity</t>
  </si>
  <si>
    <t>Total Value</t>
  </si>
  <si>
    <t>RT</t>
  </si>
  <si>
    <t>Dept 2</t>
  </si>
  <si>
    <t>AC</t>
  </si>
  <si>
    <t>Dept 5</t>
  </si>
  <si>
    <t>AB</t>
  </si>
  <si>
    <t>Dept 4</t>
  </si>
  <si>
    <t>DE</t>
  </si>
  <si>
    <t>DB</t>
  </si>
  <si>
    <t>Dept 1</t>
  </si>
  <si>
    <t>Dept 3</t>
  </si>
  <si>
    <t>Returns the average (arithmetic mean) of the arguments.</t>
  </si>
  <si>
    <t>AVERAGE(number1, number2,...)</t>
  </si>
  <si>
    <t>Syntax</t>
  </si>
  <si>
    <t>Sample Formula</t>
  </si>
  <si>
    <t>Sample Result</t>
  </si>
  <si>
    <t>Returns the largest value in a set of values.</t>
  </si>
  <si>
    <t>MAX(number1,number2,...)</t>
  </si>
  <si>
    <t>Returns the smallest number in a set of values.</t>
  </si>
  <si>
    <t>MIN(number1,number2,...)</t>
  </si>
  <si>
    <t>Counts the number of cells that contain numbers</t>
  </si>
  <si>
    <t>COUNT(value1, value2,...)</t>
  </si>
  <si>
    <t>Counts the number of cells that are not empty.</t>
  </si>
  <si>
    <t>COUNTA(value1, value2,...)</t>
  </si>
  <si>
    <t>Count the values in a range that meet specified criteria.</t>
  </si>
  <si>
    <t>Sum the values in a range that meet specified criteria.</t>
  </si>
  <si>
    <t>Average the values in a range that meet specified criteria.</t>
  </si>
  <si>
    <t>COUNTIF(range, criteria)</t>
  </si>
  <si>
    <t>SUMIF(range, criteria, sum range)</t>
  </si>
  <si>
    <t>Locate text within a text entry and returns the number of the starting position of the text within that entry.</t>
  </si>
  <si>
    <t>Returns the number of leftmost characters specified.</t>
  </si>
  <si>
    <t>President George Washington, United States of America</t>
  </si>
  <si>
    <t>Returns the number of characters in a text entry.</t>
  </si>
  <si>
    <t>LEN(text)</t>
  </si>
  <si>
    <t>MID(text, start num, num chars)</t>
  </si>
  <si>
    <t>LEFT(text, num chars)</t>
  </si>
  <si>
    <t>FIND(find text ,within text, start with num)</t>
  </si>
  <si>
    <t>Returns the specified number of characters from a text entry, beginning with the specified character number.</t>
  </si>
  <si>
    <t>Returns the number of rightmost characters specified.</t>
  </si>
  <si>
    <t>RIGHT(text, num chars)</t>
  </si>
  <si>
    <t>=AVERAGE(I4:I43)</t>
  </si>
  <si>
    <t>=MAX(J4:J43)</t>
  </si>
  <si>
    <t>=COUNT(J4:J43)</t>
  </si>
  <si>
    <t>=COUNTA(G4:G43)</t>
  </si>
  <si>
    <t>=SUMIF(H4:K43,"Dept 1",K4:K43)</t>
  </si>
  <si>
    <t>=COUNTIF(G4:G43,"RT")</t>
  </si>
  <si>
    <t>=AVERAGEIF(G4:K43,"RT",I4:I43)</t>
  </si>
  <si>
    <t>I think that I will never see, a poem as lovely as a tree.</t>
  </si>
  <si>
    <t>USS Enterprise, Starfleet Command</t>
  </si>
  <si>
    <t>Statistical Functions</t>
  </si>
  <si>
    <t>=MIN(I4:I43)</t>
  </si>
  <si>
    <t>AVERAGEIF(range, criteria, average range)</t>
  </si>
  <si>
    <t>TIME(hour, minute, second)</t>
  </si>
  <si>
    <t>is the date 3 months after today's date.</t>
  </si>
  <si>
    <t>EDATE(start date, months)</t>
  </si>
  <si>
    <t>EOMONTH(start date, months)</t>
  </si>
  <si>
    <t>NETWORKDAYS(start date, end date, holidays)</t>
  </si>
  <si>
    <t>WORKDAY(start date, days, holidays)</t>
  </si>
  <si>
    <t>Syntax: PMT(rate, nper, pv, fv, type)</t>
  </si>
  <si>
    <t>Average</t>
  </si>
  <si>
    <t>Grade</t>
  </si>
  <si>
    <t>Score</t>
  </si>
  <si>
    <r>
      <t>f</t>
    </r>
    <r>
      <rPr>
        <b/>
        <i/>
        <vertAlign val="subscript"/>
        <sz val="18"/>
        <color indexed="56"/>
        <rFont val="Cambria"/>
        <family val="1"/>
      </rPr>
      <t>x</t>
    </r>
  </si>
  <si>
    <t>The insert function button on the formula bar opens the Insert Function dialog box. Type in</t>
  </si>
  <si>
    <t>what you want to do and click Go or hit Enter and Excel will give you a list of possible</t>
  </si>
  <si>
    <t>functions. In the sample dialog box to the right, I searched for a function to find data in a</t>
  </si>
  <si>
    <t>table. Excel returned four possibilities.  Click the function name to see the function syntax</t>
  </si>
  <si>
    <t>link to see more information and samples of the function at work.</t>
  </si>
  <si>
    <t>When you click OK, Excel will open the Functions Argument dialog box for the selected</t>
  </si>
  <si>
    <t>function to help you enter the function arguments correctly.  As you move the insertion</t>
  </si>
  <si>
    <t>point through the arguments, Excel will give a description of what is expected.  You also have</t>
  </si>
  <si>
    <t>Argument labels in bold text are required arguments.  Once you have entered all required</t>
  </si>
  <si>
    <t>arguments, click OK and the function is entered in your worksheet.</t>
  </si>
  <si>
    <r>
      <t xml:space="preserve">and a brief description. If you're not sure what all that means, click the </t>
    </r>
    <r>
      <rPr>
        <u/>
        <sz val="11"/>
        <color indexed="8"/>
        <rFont val="Calibri"/>
        <family val="2"/>
      </rPr>
      <t>Help on this function</t>
    </r>
  </si>
  <si>
    <r>
      <t xml:space="preserve">the opportunity to click for more </t>
    </r>
    <r>
      <rPr>
        <u/>
        <sz val="11"/>
        <color indexed="8"/>
        <rFont val="Calibri"/>
        <family val="2"/>
      </rPr>
      <t>Help on this function</t>
    </r>
    <r>
      <rPr>
        <sz val="11"/>
        <color theme="1"/>
        <rFont val="Calibri"/>
        <family val="2"/>
        <scheme val="minor"/>
      </rPr>
      <t>.</t>
    </r>
  </si>
  <si>
    <t>Selecting a cell that contains a function and then clicking the</t>
  </si>
  <si>
    <t>Insert Function button will open the Function Arguments</t>
  </si>
  <si>
    <t>dialog box for that function.</t>
  </si>
  <si>
    <t>Insert Function Button</t>
  </si>
  <si>
    <t>Formula in B10:  =-PMT(B12/B14,B15,B11)</t>
  </si>
  <si>
    <t>periods for the life of the loan.  The pv argument is the amount of the loan. Because this loan will be paid down to zero</t>
  </si>
  <si>
    <t>Formula in B18:  =-PMT(B20/B22,B23,B19,B24)</t>
  </si>
  <si>
    <t>Formula in B27:  =-PMT(B29/B31,B32,0,B28)</t>
  </si>
  <si>
    <t>Formula in B35:  =-PMT(((1+(B37/2))^2)^(1/12)-1,B40,B36)</t>
  </si>
  <si>
    <r>
      <t>Explained - Select B10 and click [</t>
    </r>
    <r>
      <rPr>
        <b/>
        <i/>
        <sz val="15"/>
        <color indexed="56"/>
        <rFont val="Calibri"/>
        <family val="2"/>
      </rPr>
      <t>fx</t>
    </r>
    <r>
      <rPr>
        <b/>
        <sz val="15"/>
        <color indexed="56"/>
        <rFont val="Calibri"/>
        <family val="2"/>
      </rPr>
      <t>]</t>
    </r>
  </si>
  <si>
    <r>
      <t>Explained - Select B18 and click [</t>
    </r>
    <r>
      <rPr>
        <b/>
        <i/>
        <sz val="15"/>
        <color indexed="56"/>
        <rFont val="Calibri"/>
        <family val="2"/>
      </rPr>
      <t>fx</t>
    </r>
    <r>
      <rPr>
        <b/>
        <sz val="15"/>
        <color indexed="56"/>
        <rFont val="Calibri"/>
        <family val="2"/>
      </rPr>
      <t>]</t>
    </r>
  </si>
  <si>
    <r>
      <t>Explained - Select B27 and click [</t>
    </r>
    <r>
      <rPr>
        <b/>
        <i/>
        <sz val="15"/>
        <color indexed="56"/>
        <rFont val="Calibri"/>
        <family val="2"/>
      </rPr>
      <t>fx</t>
    </r>
    <r>
      <rPr>
        <b/>
        <sz val="15"/>
        <color indexed="56"/>
        <rFont val="Calibri"/>
        <family val="2"/>
      </rPr>
      <t>]</t>
    </r>
  </si>
  <si>
    <r>
      <t>Explained - Select B35 and click [</t>
    </r>
    <r>
      <rPr>
        <b/>
        <i/>
        <sz val="15"/>
        <color indexed="56"/>
        <rFont val="Calibri"/>
        <family val="2"/>
      </rPr>
      <t>fx</t>
    </r>
    <r>
      <rPr>
        <b/>
        <sz val="15"/>
        <color indexed="56"/>
        <rFont val="Calibri"/>
        <family val="2"/>
      </rPr>
      <t>]</t>
    </r>
  </si>
  <si>
    <t>(A23 contains sample text for text functions)</t>
  </si>
  <si>
    <t>=FIND(",",A23)</t>
  </si>
  <si>
    <t>=LEFT(A23,9)</t>
  </si>
  <si>
    <t>=LEN(A23)</t>
  </si>
  <si>
    <t>=MID(A23,18,10)</t>
  </si>
  <si>
    <t>=RIGHT(A23,7)</t>
  </si>
  <si>
    <t xml:space="preserve">Use the text functions together to work with variable text lengths in a column.  This formula will always return </t>
  </si>
  <si>
    <t>the text following a comma/space in a text entry:</t>
  </si>
  <si>
    <t>=RIGHT(A38,(LEN(A38)-FIND(",",A38)-1))</t>
  </si>
  <si>
    <t>Using the first example above, it works by taking the length of the text (53) and subtracting the number of</t>
  </si>
  <si>
    <t>characters up to the comma (28) and an extra 1 for the space, and then returning that number (24) of characters</t>
  </si>
  <si>
    <t>from the right end of the text.</t>
  </si>
  <si>
    <t>SUMIFS</t>
  </si>
  <si>
    <t>Adds the cells in a range that meet multiple criteria.</t>
  </si>
  <si>
    <t>COUNTIFS</t>
  </si>
  <si>
    <t>Applies criteria to cells across multiple ranges and counts the number of times all criteria are met.</t>
  </si>
  <si>
    <t>AVERAGEIFS</t>
  </si>
  <si>
    <t>Returns the average (arithmetic mean) of all cells that meet multiple criteria.</t>
  </si>
  <si>
    <t>New 2007 Functions</t>
  </si>
  <si>
    <t>IFERROR</t>
  </si>
  <si>
    <t>Returns a value you specify if a formula evaluates to an error; otherwise, returns the result of the formula.</t>
  </si>
  <si>
    <t>Enter Part Number:</t>
  </si>
  <si>
    <t>Type:</t>
  </si>
  <si>
    <t>Department:</t>
  </si>
  <si>
    <t>Cost:</t>
  </si>
  <si>
    <t>Quantity:</t>
  </si>
  <si>
    <t>Vlookup function with valid data:</t>
  </si>
  <si>
    <t>Vlookup function with invalid data:</t>
  </si>
  <si>
    <t>Formula in I39:  =IFERROR(VLOOKUP(I37,A16:F42,2), "Invalid Part #")</t>
  </si>
  <si>
    <t>Formula in I40: =IF(I39= "Invalid Part #","",VLOOKUP(I37,A16:F42,3))</t>
  </si>
  <si>
    <t>=SUMIFS(F16:F55,B16:B55,"RT",C16:C55,"Dept 2")</t>
  </si>
  <si>
    <t>=COUNTIFS(B16:B55,"RT",C16:C55,"Dept 2")</t>
  </si>
  <si>
    <t>=AVERAGEIF(B16:F55,"RT",D16:D55)</t>
  </si>
  <si>
    <t>=AVERAGEIFS(F16:F55,B16:B55,"RT",C16:C55,"Dept 2")</t>
  </si>
  <si>
    <t>See below</t>
  </si>
  <si>
    <t>You must have Excel 2007 to use these functions.</t>
  </si>
  <si>
    <t>COUNTIFS(criteria range1, criteria1, criteria range2, criteria2…)</t>
  </si>
  <si>
    <t>SUMIFS(sum range, criteria range1, criteria1, criteria range2, criteria2, …)</t>
  </si>
  <si>
    <t>AVERAGEIFS(average range, criteria range1, criteria1, criteria range2, criteria2…)</t>
  </si>
  <si>
    <t>IFERROR(value, value if error)</t>
  </si>
  <si>
    <t>Dates in Excel are actually stored as values, making it easy to do calculations with dates when all you're doing is adding or subtracting number of days.  For the other things you</t>
  </si>
  <si>
    <t>might want to do with dates, there are a variety of functions available to help. Here are a few you might find useful.</t>
  </si>
  <si>
    <t>Rate is the interest rate per period for the loan.  Nper is the total number of payments. Pv is the present value or principal. Fv is the future value and is assumed to be zero if</t>
  </si>
  <si>
    <t>omitted. Type indicates when payments are due. Omitted or zero if payments are made at the end of the period, 1 if at the beginning.</t>
  </si>
  <si>
    <t>The negative following the equal sign is used to negate the functions normal negative value so that the payment</t>
  </si>
  <si>
    <t>displays as a positive number. Because the rate argument requires the interest rate for the period, divide the annual</t>
  </si>
  <si>
    <t>rate by the number of periods per year, so the rate argument is B12/B14.  The nper argument is B15, the total number of</t>
  </si>
  <si>
    <t>Rate, nper, and pv are as above, but because this loan has a lump sum payment due at the end of the loan, we have</t>
  </si>
  <si>
    <t>added the fv argument to contain that value.</t>
  </si>
  <si>
    <t>If a lookup value is not found, vlookup returns the #N/A error. For cases when</t>
  </si>
  <si>
    <t>this is not acceptable, IFERROR allows you to set an alternate value.</t>
  </si>
  <si>
    <t>Vlookup nested in Iferror:</t>
  </si>
  <si>
    <t>Row num is the row index number from which to return matching data.</t>
  </si>
  <si>
    <t>Approximate Match
Functions in Col B:</t>
  </si>
  <si>
    <t>Range lookup is a logical value: TRUE (or 1) or omitted for an approximate match or FALSE (or 0) for an exact match.  If True the values in the first row must appear in ascending order.</t>
  </si>
  <si>
    <t>Col num is the column index number from which to return data.</t>
  </si>
  <si>
    <t>Range lookup is a logical value: TRUE (or 1) or omitted for an approximate match or FALSE (or 0) for an exact match.  If True the values in the first column must appear in ascending order.</t>
  </si>
  <si>
    <t>DAVERAGE</t>
  </si>
  <si>
    <t>Returns the average of selected database entries</t>
  </si>
  <si>
    <t>DCOUNT</t>
  </si>
  <si>
    <t>Counts the cells that contain numbers in a database</t>
  </si>
  <si>
    <t>DCOUNTA</t>
  </si>
  <si>
    <t>Counts nonblank cells in a database</t>
  </si>
  <si>
    <t>DGET</t>
  </si>
  <si>
    <t>Extracts from a database a single record that matches the specified criteria</t>
  </si>
  <si>
    <t>DMAX</t>
  </si>
  <si>
    <t>Returns the maximum value from selected database entries</t>
  </si>
  <si>
    <t>DMIN</t>
  </si>
  <si>
    <t>Returns the minimum value from selected database entries</t>
  </si>
  <si>
    <t>DPRODUCT</t>
  </si>
  <si>
    <t>Multiplies the values in a particular field of records that match the criteria in a database</t>
  </si>
  <si>
    <t>DSUM</t>
  </si>
  <si>
    <t>Adds the numbers in the field column of records in the database that match the criteria</t>
  </si>
  <si>
    <t>Date and Time Functions</t>
  </si>
  <si>
    <t>DATE</t>
  </si>
  <si>
    <t>Returns the serial number of a particular date</t>
  </si>
  <si>
    <t>DATEVALUE</t>
  </si>
  <si>
    <t>Converts a date in the form of text to a serial number</t>
  </si>
  <si>
    <t>Converts a serial number to a day of the month</t>
  </si>
  <si>
    <t>DAYS360</t>
  </si>
  <si>
    <t>Calculates the number of days between two dates based on a 360-day year</t>
  </si>
  <si>
    <t>Returns the serial number of the date that is the indicated number of months before or after the start date</t>
  </si>
  <si>
    <t>Returns the serial number of the last day of the month before or after a specified number of months</t>
  </si>
  <si>
    <t>Converts a serial number to a month</t>
  </si>
  <si>
    <t>Returns the serial number of the current date and time</t>
  </si>
  <si>
    <t>Returns the serial number of today's date</t>
  </si>
  <si>
    <t>WEEKDAY</t>
  </si>
  <si>
    <t>Converts a serial number to a day of the week</t>
  </si>
  <si>
    <t>WEEKNUM</t>
  </si>
  <si>
    <t>Converts a serial number to a number representing where the week falls numerically with a year</t>
  </si>
  <si>
    <t>Returns the serial number of the date before or after a specified number of workdays</t>
  </si>
  <si>
    <t>Converts a serial number to a year</t>
  </si>
  <si>
    <t>Financial Functions</t>
  </si>
  <si>
    <t>DDB</t>
  </si>
  <si>
    <t>Returns the depreciation of an asset for a specified period by using the double-declining balance method or some other method that you specify</t>
  </si>
  <si>
    <t>DISC</t>
  </si>
  <si>
    <t>Returns the discount rate for a security</t>
  </si>
  <si>
    <t>FV</t>
  </si>
  <si>
    <t>Returns the future value of an investment</t>
  </si>
  <si>
    <t>Returns the periodic payment for an annuity</t>
  </si>
  <si>
    <t>PV</t>
  </si>
  <si>
    <t>Returns the present value of an investment</t>
  </si>
  <si>
    <t>SLN</t>
  </si>
  <si>
    <t>Returns the straight-line depreciation of an asset for one period</t>
  </si>
  <si>
    <t>SYD</t>
  </si>
  <si>
    <t>Returns the sum-of-years' digits depreciation of an asset for a specified period</t>
  </si>
  <si>
    <t>Information Functions</t>
  </si>
  <si>
    <t>CELL</t>
  </si>
  <si>
    <t>Returns information about the formatting, location, or contents of a cell</t>
  </si>
  <si>
    <t>ERROR.TYPE</t>
  </si>
  <si>
    <t>Returns a number corresponding to an error type</t>
  </si>
  <si>
    <t>INFO</t>
  </si>
  <si>
    <t>Returns information about the current operating environment</t>
  </si>
  <si>
    <t>ISBLANK</t>
  </si>
  <si>
    <t>Returns TRUE if the value is blank</t>
  </si>
  <si>
    <t>ISERR</t>
  </si>
  <si>
    <t>Returns TRUE if the value is any error value except #N/A</t>
  </si>
  <si>
    <t>ISERROR</t>
  </si>
  <si>
    <t>Returns TRUE if the value is any error value</t>
  </si>
  <si>
    <t>ISNA</t>
  </si>
  <si>
    <t>Returns TRUE if the value is the #N/A error value</t>
  </si>
  <si>
    <t>ISNUMBER</t>
  </si>
  <si>
    <t>Returns TRUE if the value is a number</t>
  </si>
  <si>
    <t>ISREF</t>
  </si>
  <si>
    <t>Returns TRUE if the value is a reference</t>
  </si>
  <si>
    <t>ISTEXT</t>
  </si>
  <si>
    <t>Returns TRUE if the value is text</t>
  </si>
  <si>
    <t>Logical Functions</t>
  </si>
  <si>
    <t>AND</t>
  </si>
  <si>
    <t>Returns TRUE if all of its arguments are TRUE</t>
  </si>
  <si>
    <t>Returns the logical value FALSE</t>
  </si>
  <si>
    <t>Specifies a logical test to perform</t>
  </si>
  <si>
    <t>NOT</t>
  </si>
  <si>
    <t>Reverses the logic of its argument</t>
  </si>
  <si>
    <t>OR</t>
  </si>
  <si>
    <t>Returns TRUE if any argument is TRUE</t>
  </si>
  <si>
    <t>Returns the logical value TRUE</t>
  </si>
  <si>
    <t>Lookup and Reference Functions</t>
  </si>
  <si>
    <t>CHOOSE</t>
  </si>
  <si>
    <t>Chooses a value from a list of values</t>
  </si>
  <si>
    <t>GETPIVOTDATA</t>
  </si>
  <si>
    <t>Returns data stored in a PivotTable</t>
  </si>
  <si>
    <t>Looks in the top row of an array and returns the value of the indicated cell</t>
  </si>
  <si>
    <t>HYPERLINK</t>
  </si>
  <si>
    <t>Creates a shortcut or jump that opens a document stored on a network server, an intranet, or the Internet</t>
  </si>
  <si>
    <t>INDEX</t>
  </si>
  <si>
    <t>Uses an index to choose a value from a reference or array</t>
  </si>
  <si>
    <t>LOOKUP</t>
  </si>
  <si>
    <t>Looks up values in a vector or array</t>
  </si>
  <si>
    <t>TRANSPOSE</t>
  </si>
  <si>
    <t>Returns the transpose of an array</t>
  </si>
  <si>
    <t>Looks in the first column of an array and moves across the row to return the value of a cell</t>
  </si>
  <si>
    <t>Math and Trigonometry Functions</t>
  </si>
  <si>
    <t>RAND</t>
  </si>
  <si>
    <t>Returns a random number between 0 and 1</t>
  </si>
  <si>
    <t>RANDBETWEEN</t>
  </si>
  <si>
    <t>Returns a random number between the numbers you specify</t>
  </si>
  <si>
    <t>ROUND</t>
  </si>
  <si>
    <t>Rounds a number to a specified number of digits</t>
  </si>
  <si>
    <t>ROUNDDOWN</t>
  </si>
  <si>
    <t>Rounds a number down, toward zero</t>
  </si>
  <si>
    <t>ROUNDUP</t>
  </si>
  <si>
    <t>Rounds a number up, away from zero</t>
  </si>
  <si>
    <t>SIGN</t>
  </si>
  <si>
    <t>Returns the sign of a number</t>
  </si>
  <si>
    <t>SUBTOTAL</t>
  </si>
  <si>
    <t>Returns a subtotal in a list or database</t>
  </si>
  <si>
    <t>SUM</t>
  </si>
  <si>
    <t>Adds its arguments</t>
  </si>
  <si>
    <t>Adds the cells specified by a given criteria</t>
  </si>
  <si>
    <t>Returns the average of its arguments</t>
  </si>
  <si>
    <t>Counts how many numbers are in the list of arguments</t>
  </si>
  <si>
    <t>Counts how many values are in the list of arguments</t>
  </si>
  <si>
    <t>COUNTBLANK</t>
  </si>
  <si>
    <t>Counts the number of blank cells within a range</t>
  </si>
  <si>
    <t>Counts the number of nonblank cells within a range that meet the given criteria</t>
  </si>
  <si>
    <t>Returns the maximum value in a list of arguments</t>
  </si>
  <si>
    <t>Returns the minimum value in a list of arguments</t>
  </si>
  <si>
    <t>RANK</t>
  </si>
  <si>
    <t>Returns the rank of a number in a list of numbers</t>
  </si>
  <si>
    <t>CLEAN</t>
  </si>
  <si>
    <t>Removes all nonprintable characters from text</t>
  </si>
  <si>
    <t>CONCATENATE</t>
  </si>
  <si>
    <t>Joins several text items into one text item</t>
  </si>
  <si>
    <t>FIND, FINDB</t>
  </si>
  <si>
    <t>Finds one text value within another (case-sensitive)</t>
  </si>
  <si>
    <t>LEFT, LEFTB</t>
  </si>
  <si>
    <t>Returns the leftmost characters from a text value</t>
  </si>
  <si>
    <t>LEN, LENB</t>
  </si>
  <si>
    <t>Returns the number of characters in a text string</t>
  </si>
  <si>
    <t>LOWER</t>
  </si>
  <si>
    <t>Converts text to lowercase</t>
  </si>
  <si>
    <t>MID, MIDB</t>
  </si>
  <si>
    <t>Returns a specific number of characters from a text string starting at the position you specify</t>
  </si>
  <si>
    <t>PROPER</t>
  </si>
  <si>
    <t>Capitalizes the first letter in each word of a text value</t>
  </si>
  <si>
    <t>REPLACE, REPLACEB</t>
  </si>
  <si>
    <t>Replaces characters within text</t>
  </si>
  <si>
    <t>REPT</t>
  </si>
  <si>
    <t>Repeats text a given number of times</t>
  </si>
  <si>
    <t>RIGHT, RIGHTB</t>
  </si>
  <si>
    <t>Returns the rightmost characters from a text value</t>
  </si>
  <si>
    <t>SEARCH, SEARCHB</t>
  </si>
  <si>
    <t>Finds one text value within another (not case-sensitive)</t>
  </si>
  <si>
    <t>SUBSTITUTE</t>
  </si>
  <si>
    <t>Substitutes new text for old text in a text string</t>
  </si>
  <si>
    <t>TEXT</t>
  </si>
  <si>
    <t>Formats a number and converts it to text</t>
  </si>
  <si>
    <t>TRIM</t>
  </si>
  <si>
    <t>Removes spaces from text</t>
  </si>
  <si>
    <t>UPPER</t>
  </si>
  <si>
    <t>Converts text to uppercase</t>
  </si>
  <si>
    <t>VALUE</t>
  </si>
  <si>
    <t>Converts a text argument to a number</t>
  </si>
  <si>
    <t>Travel Expense</t>
  </si>
  <si>
    <t>Budget</t>
  </si>
  <si>
    <t>Actual</t>
  </si>
  <si>
    <t>IF Example - A Little More Complex:</t>
  </si>
  <si>
    <t>IF Example - Simple:</t>
  </si>
  <si>
    <t>AUTOMOBILE EXPENSE</t>
  </si>
  <si>
    <t>BANK SERVICE CHARGES</t>
  </si>
  <si>
    <t>CONFERENCE REGISTRATION FEES</t>
  </si>
  <si>
    <t>CONTRACT LABOR</t>
  </si>
  <si>
    <t>CONTRIBUTIONS</t>
  </si>
  <si>
    <t>DUES AND SUBSCRIPTIONS</t>
  </si>
  <si>
    <t>EQUIPMENT PURCHASE</t>
  </si>
  <si>
    <t>EQUIPMENT RENTAL</t>
  </si>
  <si>
    <t>HARDWARE PURCHASE</t>
  </si>
  <si>
    <t>INSURANCE</t>
  </si>
  <si>
    <t>MARKETING GIVEAWAYS</t>
  </si>
  <si>
    <t>MEMBERSHIPS</t>
  </si>
  <si>
    <t>MISCELLANEOUS</t>
  </si>
  <si>
    <t>OFFICE SUPPLIES</t>
  </si>
  <si>
    <t>ONLINE COMPUTER SERVICES</t>
  </si>
  <si>
    <t>OUTSIDE SERVICES</t>
  </si>
  <si>
    <t>PARTNER SALARY DRAW</t>
  </si>
  <si>
    <t>PAYROLL EXPENSES</t>
  </si>
  <si>
    <t>IF Example - A Slightly Larger Example:</t>
  </si>
  <si>
    <t>Exam Score</t>
  </si>
  <si>
    <t>Robyn Pertosky</t>
  </si>
  <si>
    <t>Letter Grade</t>
  </si>
  <si>
    <t>Kathy Doveworth</t>
  </si>
  <si>
    <t>Brenda Sardowsky</t>
  </si>
  <si>
    <t>Drew Laverless</t>
  </si>
  <si>
    <t>Kurt Fanning</t>
  </si>
  <si>
    <t>David Fullerton</t>
  </si>
  <si>
    <t>Grahma Hatsford</t>
  </si>
  <si>
    <t>Tax Rate</t>
  </si>
  <si>
    <t>If Example - 2009 IRS Tax Rate Schedules:</t>
  </si>
  <si>
    <t>Low</t>
  </si>
  <si>
    <t>High</t>
  </si>
  <si>
    <t>Taxable Income</t>
  </si>
  <si>
    <t>Tax Base</t>
  </si>
  <si>
    <t>Threshold</t>
  </si>
  <si>
    <t>Incremental Rate</t>
  </si>
  <si>
    <t>Taxpayer Status</t>
  </si>
  <si>
    <t>Tax</t>
  </si>
  <si>
    <t>A. Single</t>
  </si>
  <si>
    <t>B. Married/Widower</t>
  </si>
  <si>
    <t>C. Married - Sep</t>
  </si>
  <si>
    <t>D. Head /Household</t>
  </si>
  <si>
    <t>D. Head/Household</t>
  </si>
  <si>
    <t>Simpleton, Fred</t>
  </si>
  <si>
    <t>Norris, Carnie</t>
  </si>
  <si>
    <t>Hall, Nancy</t>
  </si>
  <si>
    <t>Wells, Diane</t>
  </si>
  <si>
    <t>Thomas, Doug</t>
  </si>
  <si>
    <t>Insurance?</t>
  </si>
  <si>
    <t>Hire Date</t>
  </si>
  <si>
    <t>Vacation Days Earned</t>
  </si>
  <si>
    <t>A. No Bonus</t>
  </si>
  <si>
    <t>B. Basic Bonus</t>
  </si>
  <si>
    <t>C. High Performance Bonus</t>
  </si>
  <si>
    <t>D. Super Bonus</t>
  </si>
  <si>
    <t>Bonus Level</t>
  </si>
  <si>
    <t>In this sample, there are four possibilities for bonuses.</t>
  </si>
  <si>
    <t>=if(B7&gt;1/1/08#AND#if(B7&lt;12/31/08),2008,2009)</t>
  </si>
  <si>
    <t>J. Carlton Collins</t>
  </si>
  <si>
    <t>=SUM(B4,B5,B6,B7,B8,B9,B10,B11)</t>
  </si>
  <si>
    <t>=D4+D5+D6+D7+D8+D9+D10+D11</t>
  </si>
  <si>
    <t>=SUM(F4:F11)</t>
  </si>
  <si>
    <t>Using Commas</t>
  </si>
  <si>
    <t>Using Plus Signs</t>
  </si>
  <si>
    <t>Using a Colon</t>
  </si>
  <si>
    <t>Assumptions:</t>
  </si>
  <si>
    <t>Increase in Revenue Assumed:</t>
  </si>
  <si>
    <t>Increase in Expenses Assumed:</t>
  </si>
  <si>
    <t>2009 Budget</t>
  </si>
  <si>
    <t>Ordinary Income/Expense</t>
  </si>
  <si>
    <t>Income</t>
  </si>
  <si>
    <t>4010 - Sales</t>
  </si>
  <si>
    <t>4020 - Cash Discount Given</t>
  </si>
  <si>
    <t>4210 - Write off</t>
  </si>
  <si>
    <t>Total Income</t>
  </si>
  <si>
    <t>Cost of Goods Sold</t>
  </si>
  <si>
    <t>4510 - Cost of Goods - Materials</t>
  </si>
  <si>
    <t>4530 - Cash Discount Taken</t>
  </si>
  <si>
    <t>Total COGS</t>
  </si>
  <si>
    <t>Gross Profit</t>
  </si>
  <si>
    <t>Gross Profit Percentage</t>
  </si>
  <si>
    <t>Expense</t>
  </si>
  <si>
    <t>5100 - Employee Wages</t>
  </si>
  <si>
    <t>5100 - Employee Wages - Other</t>
  </si>
  <si>
    <t>5110 - Wages</t>
  </si>
  <si>
    <t>5120 - Employee Benefits</t>
  </si>
  <si>
    <t>Total 5100 - Employee Wages</t>
  </si>
  <si>
    <t>5510 - Bank Charges</t>
  </si>
  <si>
    <t>5710 - Repairs and Maintenance Expenses</t>
  </si>
  <si>
    <t>6100 - Depreciation</t>
  </si>
  <si>
    <t>6120 - Depreciation Expenses/Equipment</t>
  </si>
  <si>
    <t>6125 - Depreciation Expenses/Furniture</t>
  </si>
  <si>
    <t>Total 6100 - Depreciation</t>
  </si>
  <si>
    <t>6210 - Office Supplies</t>
  </si>
  <si>
    <t>6310 - Insurance Vehicle</t>
  </si>
  <si>
    <t>6320 - Insurance Other</t>
  </si>
  <si>
    <t>6410 - Freight/Shipping Expenses</t>
  </si>
  <si>
    <t>6620 - Accounting Fees</t>
  </si>
  <si>
    <t>6760 - Other Expenses</t>
  </si>
  <si>
    <t>6770 - Travel Expenses</t>
  </si>
  <si>
    <t>6770 - Travel Expenses - Other</t>
  </si>
  <si>
    <t>Total 6770 - Travel Expenses</t>
  </si>
  <si>
    <t>6800 - Utilities</t>
  </si>
  <si>
    <t>6810 - Utilities - Electric and Gas</t>
  </si>
  <si>
    <t>6815 - Utilities - Telephone</t>
  </si>
  <si>
    <t>Total 6800 - Utilities</t>
  </si>
  <si>
    <t>6910 - Rental Expenses</t>
  </si>
  <si>
    <t>6915 - Leased Facilities</t>
  </si>
  <si>
    <t>Total 6910 - Rental Expenses</t>
  </si>
  <si>
    <t>7736 - Purchases</t>
  </si>
  <si>
    <t>Total Expense</t>
  </si>
  <si>
    <t>Net Ordinary Income</t>
  </si>
  <si>
    <t>Other Income/Expense</t>
  </si>
  <si>
    <t>Other Income</t>
  </si>
  <si>
    <t>8010 - Gain or Loss on Sale of Assets</t>
  </si>
  <si>
    <t>8020 - Finance Charge Income</t>
  </si>
  <si>
    <t>8030 - Interest Income</t>
  </si>
  <si>
    <t>Total Other Income</t>
  </si>
  <si>
    <t>Other Expense</t>
  </si>
  <si>
    <t>9010 - Interest Expenses</t>
  </si>
  <si>
    <t>Total Other Expense</t>
  </si>
  <si>
    <t>Net Other Income</t>
  </si>
  <si>
    <t>Total Net Income</t>
  </si>
  <si>
    <t>Net Income</t>
  </si>
  <si>
    <t>1st level subtotal</t>
  </si>
  <si>
    <t>2nd level subtotal</t>
  </si>
  <si>
    <t>Grand Total</t>
  </si>
  <si>
    <t>3rd Level Grand Total</t>
  </si>
  <si>
    <t>Item 1</t>
  </si>
  <si>
    <t>Item 2</t>
  </si>
  <si>
    <t>Item 3</t>
  </si>
  <si>
    <t>Value</t>
  </si>
  <si>
    <t>Expense:</t>
  </si>
  <si>
    <t>Apr</t>
  </si>
  <si>
    <t>May</t>
  </si>
  <si>
    <t>Jun</t>
  </si>
  <si>
    <t>POSTAGE AND DELIVERY</t>
  </si>
  <si>
    <t>PRINTING AND REPRODUCTION</t>
  </si>
  <si>
    <t>PURCHASE - THE ACCOUNTING LIBRA</t>
  </si>
  <si>
    <t>PURCHASES TAL- WEB STORE REPORT</t>
  </si>
  <si>
    <t>RENT</t>
  </si>
  <si>
    <t>REPAIRS</t>
  </si>
  <si>
    <t>SOFTWARE PURCHASE</t>
  </si>
  <si>
    <t>SSI-MISC</t>
  </si>
  <si>
    <t>TAXES</t>
  </si>
  <si>
    <t>FEDERAL</t>
  </si>
  <si>
    <t>STATE</t>
  </si>
  <si>
    <t>TOTAL TAXES</t>
  </si>
  <si>
    <t/>
  </si>
  <si>
    <t>TOTAL EXPENSES</t>
  </si>
  <si>
    <t>Invoice Number</t>
  </si>
  <si>
    <t>Customer</t>
  </si>
  <si>
    <t>Alan Akers</t>
  </si>
  <si>
    <t>316 Wild Heron Road</t>
  </si>
  <si>
    <t>St. Simons Island, GA 31522</t>
  </si>
  <si>
    <t>912-638-5009</t>
  </si>
  <si>
    <t>Robin Allen</t>
  </si>
  <si>
    <t>269 Old Plantation Trail</t>
  </si>
  <si>
    <t>Milledgeville, GA</t>
  </si>
  <si>
    <t>478-968-5313</t>
  </si>
  <si>
    <t>Robinandtonypeters@Alltel.Net</t>
  </si>
  <si>
    <t>Ricky Albright</t>
  </si>
  <si>
    <t>Tamara Andrews</t>
  </si>
  <si>
    <t>Joanna Arbo Brand</t>
  </si>
  <si>
    <t>Donnie Aspinwall</t>
  </si>
  <si>
    <t>Kelly Astle</t>
  </si>
  <si>
    <t>Alphonso J. Atkinson</t>
  </si>
  <si>
    <t>3787Landgraf Cove</t>
  </si>
  <si>
    <t>Decatur, GA 30034</t>
  </si>
  <si>
    <t>404-212-1981</t>
  </si>
  <si>
    <t>Atk3787@Aol.Com</t>
  </si>
  <si>
    <t>Alvin Atkinson</t>
  </si>
  <si>
    <t>2717 Bethel Ct</t>
  </si>
  <si>
    <t>Winston-Salem, NC 27127</t>
  </si>
  <si>
    <t>336-764-3532</t>
  </si>
  <si>
    <t>Atkinsona@Wssu.Edu</t>
  </si>
  <si>
    <t>Danette Austin</t>
  </si>
  <si>
    <t>Yvonne Baker Williams</t>
  </si>
  <si>
    <t>5600 Altama Ave., Apt. A-1</t>
  </si>
  <si>
    <t>Brunswick, GA  31520</t>
  </si>
  <si>
    <t>912-264-5910</t>
  </si>
  <si>
    <t>Susan Baker</t>
  </si>
  <si>
    <t>John Lamar Bakley</t>
  </si>
  <si>
    <t>Jacksonville, FL  32223</t>
  </si>
  <si>
    <t>904-268-0851</t>
  </si>
  <si>
    <t xml:space="preserve">Teresa Baldwin </t>
  </si>
  <si>
    <t>121 Riverridge Road</t>
  </si>
  <si>
    <t>912/265-2616</t>
  </si>
  <si>
    <t>Richard Banks</t>
  </si>
  <si>
    <t>1941 Salisbury Way</t>
  </si>
  <si>
    <t>Hinesville, GA 31313</t>
  </si>
  <si>
    <t>912-369-3336</t>
  </si>
  <si>
    <t>Richard.Banks@Vba.Pa.Gov</t>
  </si>
  <si>
    <t>Charles Banks</t>
  </si>
  <si>
    <t>498 Baisden Lane</t>
  </si>
  <si>
    <t>St. Simons Island,  GA  31522</t>
  </si>
  <si>
    <t>912-638-8873</t>
  </si>
  <si>
    <t>Sandra Barrs Carter</t>
  </si>
  <si>
    <t>Jacki Barton</t>
  </si>
  <si>
    <t>David Beard</t>
  </si>
  <si>
    <t>5519 New. Jesup Hwy</t>
  </si>
  <si>
    <t>Brunswick, GA 31523</t>
  </si>
  <si>
    <t>912-267-7401</t>
  </si>
  <si>
    <t>Keith Bell</t>
  </si>
  <si>
    <t>118 Belvedere Lane</t>
  </si>
  <si>
    <t>Peachtree City, GA 30269</t>
  </si>
  <si>
    <t>770-632-9875</t>
  </si>
  <si>
    <t>Alankeithbell@Comcast.Net</t>
  </si>
  <si>
    <t>Sandy Bennett</t>
  </si>
  <si>
    <t>Teresa Bennett</t>
  </si>
  <si>
    <t xml:space="preserve">Beth Berrie </t>
  </si>
  <si>
    <t>511 Avenida Primiceria</t>
  </si>
  <si>
    <t>Marathon, FL      33050</t>
  </si>
  <si>
    <t>305-289-0068</t>
  </si>
  <si>
    <t>Bethoceanbreeze@Aol.Com</t>
  </si>
  <si>
    <t>Jeff Biro</t>
  </si>
  <si>
    <t>Doug Blanton</t>
  </si>
  <si>
    <t>322 Terrapin Trail</t>
  </si>
  <si>
    <t>Brunswick, GA 31525</t>
  </si>
  <si>
    <t>912-270-5300</t>
  </si>
  <si>
    <t>Terrie Blue</t>
  </si>
  <si>
    <t>Fuller Blue</t>
  </si>
  <si>
    <t>Arvetta Blythewood</t>
  </si>
  <si>
    <t>Roy J. Boyd, Jr.</t>
  </si>
  <si>
    <t>311 Hawkins Island Drive</t>
  </si>
  <si>
    <t>912 634 3873</t>
  </si>
  <si>
    <t>Royboyd@Bellsouth.Net</t>
  </si>
  <si>
    <t>Chuck Boyer</t>
  </si>
  <si>
    <t>116 Riverview Drive</t>
  </si>
  <si>
    <t>Brenda Braddock Bell</t>
  </si>
  <si>
    <t>Ron Bridgefarmer</t>
  </si>
  <si>
    <t>Katherine Brown Thomas</t>
  </si>
  <si>
    <t>Pat Brown</t>
  </si>
  <si>
    <t>Richard Brown</t>
  </si>
  <si>
    <t>Beverly Brooker</t>
  </si>
  <si>
    <t>Eddie Brown</t>
  </si>
  <si>
    <t>911 W. Ohio Ave</t>
  </si>
  <si>
    <t>Tampa, FL</t>
  </si>
  <si>
    <t>Sgt Carl Brown</t>
  </si>
  <si>
    <t>166 King Cotton Road</t>
  </si>
  <si>
    <t>Brunswick, GA 31520</t>
  </si>
  <si>
    <t>912-261-8707</t>
  </si>
  <si>
    <t>Anthony Brown</t>
  </si>
  <si>
    <t>2824 Ellis Street</t>
  </si>
  <si>
    <t>912-262-6227</t>
  </si>
  <si>
    <t>Carl Bryant</t>
  </si>
  <si>
    <t>Janet Buchan Lai</t>
  </si>
  <si>
    <t>Robert Buchan</t>
  </si>
  <si>
    <t>Sidney Buckley</t>
  </si>
  <si>
    <t>1011 Wolfe Street</t>
  </si>
  <si>
    <t>912-265-4319</t>
  </si>
  <si>
    <t>Nancy Buckley</t>
  </si>
  <si>
    <t>Darryl Buffkin</t>
  </si>
  <si>
    <t>Mark Bufkin</t>
  </si>
  <si>
    <t>1210 Beech Valley Road, Ne</t>
  </si>
  <si>
    <t>Atlanta, GA 30306</t>
  </si>
  <si>
    <t>404-875-7946</t>
  </si>
  <si>
    <t>Markbufkin@Bellsouth.Net</t>
  </si>
  <si>
    <t>Joy Bunckley</t>
  </si>
  <si>
    <t>Rt 6, Box 500-B</t>
  </si>
  <si>
    <t>Brunswick, GA  31620</t>
  </si>
  <si>
    <t>Freddy Burch</t>
  </si>
  <si>
    <t>144355 Sandy Brook Rd</t>
  </si>
  <si>
    <t>Jacksonville, FL  32224</t>
  </si>
  <si>
    <t>Cisco Burnem</t>
  </si>
  <si>
    <t>Levi Burnley</t>
  </si>
  <si>
    <t>William Burns</t>
  </si>
  <si>
    <t>Gary Byrd</t>
  </si>
  <si>
    <t>Duane Byron</t>
  </si>
  <si>
    <t>Ernest Caine</t>
  </si>
  <si>
    <t>179 Yorktown Drive</t>
  </si>
  <si>
    <t>Brunswick, GA 31535</t>
  </si>
  <si>
    <t>Barbara Ann Carmena</t>
  </si>
  <si>
    <t>Michael Carmichael</t>
  </si>
  <si>
    <t>108 Crossbrook Dr</t>
  </si>
  <si>
    <t>Brunswick, GA  31525</t>
  </si>
  <si>
    <t>912-280-0008</t>
  </si>
  <si>
    <t>Glenn Carson</t>
  </si>
  <si>
    <t>1008 Manor Court</t>
  </si>
  <si>
    <t>Brentwood, TN 37027</t>
  </si>
  <si>
    <t>615-377-5574</t>
  </si>
  <si>
    <t>Reverendcarson@Yahoo.Com</t>
  </si>
  <si>
    <t>Charm Carter</t>
  </si>
  <si>
    <t>Gary Carter</t>
  </si>
  <si>
    <t>Franklin Cash</t>
  </si>
  <si>
    <t>8555 Bowen Court</t>
  </si>
  <si>
    <t>Jonesboro, GA  30236</t>
  </si>
  <si>
    <t>R. V. Cate</t>
  </si>
  <si>
    <t>412 Reynolds Street</t>
  </si>
  <si>
    <t>Mike Chaney</t>
  </si>
  <si>
    <t>1619 Niles Avenue</t>
  </si>
  <si>
    <t>(912) 265-6520</t>
  </si>
  <si>
    <t>Mchaney3@Bellsouth.Net</t>
  </si>
  <si>
    <t>Jeff Chapman</t>
  </si>
  <si>
    <t>P.O Box 3119</t>
  </si>
  <si>
    <t>912-261-2938</t>
  </si>
  <si>
    <t>Senatorchapman@Comcast.Net</t>
  </si>
  <si>
    <t>Ralph Cherry</t>
  </si>
  <si>
    <t>Sharon Chitwood Lovin</t>
  </si>
  <si>
    <t>Mark Chitty</t>
  </si>
  <si>
    <t>518 Clements Circle</t>
  </si>
  <si>
    <t>912-634-8360</t>
  </si>
  <si>
    <t>Petexchange@Adelphia.Net</t>
  </si>
  <si>
    <t xml:space="preserve">Joe Ann Cline </t>
  </si>
  <si>
    <t>P.O. Box 1502</t>
  </si>
  <si>
    <t>Statesboro, GA  30459</t>
  </si>
  <si>
    <t>(912) 852-9096</t>
  </si>
  <si>
    <t>Joeannbohler@Yahoo.Com</t>
  </si>
  <si>
    <t>Eleanor Clinch-Hutton</t>
  </si>
  <si>
    <t>Po Box 44145</t>
  </si>
  <si>
    <t>Fort Washington, Md 20749-4145</t>
  </si>
  <si>
    <t>301-455-2115</t>
  </si>
  <si>
    <t>Coyzstuff@Yahoo.Com</t>
  </si>
  <si>
    <t>David Clifton</t>
  </si>
  <si>
    <t>Carlton Collins</t>
  </si>
  <si>
    <t>4480 Missendell Lane</t>
  </si>
  <si>
    <t>Norcross, GA 30092</t>
  </si>
  <si>
    <t>770.734.0350</t>
  </si>
  <si>
    <t>Carlton@Asaresearch.Com</t>
  </si>
  <si>
    <t>Syndie Conaway</t>
  </si>
  <si>
    <t>Ralph Conner</t>
  </si>
  <si>
    <t>654 North Golf Villas, St. Simons Island, Ga 31522</t>
  </si>
  <si>
    <t>634-4935</t>
  </si>
  <si>
    <t>Pam Corbitt Talley</t>
  </si>
  <si>
    <t>135 Cardinal Rd, #504</t>
  </si>
  <si>
    <t>912-265-0531</t>
  </si>
  <si>
    <t>Raptalley@Adelphia.Net</t>
  </si>
  <si>
    <t>Paula Cosgrove</t>
  </si>
  <si>
    <t>Randy J. Cribb</t>
  </si>
  <si>
    <t>615 Union Street</t>
  </si>
  <si>
    <t>265-5234</t>
  </si>
  <si>
    <t>996-6440</t>
  </si>
  <si>
    <t>Marvin Crooks</t>
  </si>
  <si>
    <t>1450 Gardiner Lane</t>
  </si>
  <si>
    <t>Louisville, KY 40213</t>
  </si>
  <si>
    <t>(502) 459-2211</t>
  </si>
  <si>
    <t>Beverly Cross</t>
  </si>
  <si>
    <t>Pete Culver</t>
  </si>
  <si>
    <t>400 Brewster Lane</t>
  </si>
  <si>
    <t>Saint Simons Island, GA  31522</t>
  </si>
  <si>
    <t>912-638-8330</t>
  </si>
  <si>
    <t>Ellabella03@Bellsouth.Net</t>
  </si>
  <si>
    <t>Diane Dallas</t>
  </si>
  <si>
    <t>1231 Greenfield</t>
  </si>
  <si>
    <t>Nashville, TN 37216</t>
  </si>
  <si>
    <t>Greg Daniel</t>
  </si>
  <si>
    <t>111 Stu Daniel Drive</t>
  </si>
  <si>
    <t>912/265-2313</t>
  </si>
  <si>
    <t>Mary Davis Stump</t>
  </si>
  <si>
    <t>Rt 2, 375-B, Arrowpoint Rd.</t>
  </si>
  <si>
    <t>Jackson, GA  30233</t>
  </si>
  <si>
    <t>404-775-1820</t>
  </si>
  <si>
    <t>Kim Davis</t>
  </si>
  <si>
    <t>135 Lake View Circle</t>
  </si>
  <si>
    <t>Tim Davis</t>
  </si>
  <si>
    <t>Alicia Davis</t>
  </si>
  <si>
    <t>2311 Pinewood Drive</t>
  </si>
  <si>
    <t>912-554-8951</t>
  </si>
  <si>
    <t>Anthony Davis</t>
  </si>
  <si>
    <t>Grand Cayman Island</t>
  </si>
  <si>
    <t>Anthony.Davis@Ritzcarlton.Com</t>
  </si>
  <si>
    <t>Marolyn Day</t>
  </si>
  <si>
    <t>139 River Ridge Rd</t>
  </si>
  <si>
    <t>Larry Delaney</t>
  </si>
  <si>
    <t>158 St. Clair Dr</t>
  </si>
  <si>
    <t>Ssi, GA 31522</t>
  </si>
  <si>
    <t>912-638-6911</t>
  </si>
  <si>
    <t>Larrydelaney@Mail.Homes.Com</t>
  </si>
  <si>
    <t>Sandra</t>
  </si>
  <si>
    <t>Greg Demery</t>
  </si>
  <si>
    <t>671 Brookman Road</t>
  </si>
  <si>
    <t>912-225-4756</t>
  </si>
  <si>
    <t>Mike D'Emillio</t>
  </si>
  <si>
    <t>122 Sherwood Forest Cir</t>
  </si>
  <si>
    <t>Brunswick,  GA  31525</t>
  </si>
  <si>
    <t>912-264-2490</t>
  </si>
  <si>
    <t>Don Dennis</t>
  </si>
  <si>
    <t>Richard Deter</t>
  </si>
  <si>
    <t>David Dieters</t>
  </si>
  <si>
    <t>Emanuel Dillon</t>
  </si>
  <si>
    <t>Herman Dixon</t>
  </si>
  <si>
    <t>Gail Dysek (Dizik) Tindall</t>
  </si>
  <si>
    <t xml:space="preserve">224 Beachside Drive </t>
  </si>
  <si>
    <t>265-3222</t>
  </si>
  <si>
    <t>Lladnit@Bellsouth.Net</t>
  </si>
  <si>
    <t>Leanard Dobson</t>
  </si>
  <si>
    <t>Stephen Doster</t>
  </si>
  <si>
    <t>4107 Rockdale Dr</t>
  </si>
  <si>
    <t>Nashville, TN</t>
  </si>
  <si>
    <t>Bennie Dotson</t>
  </si>
  <si>
    <t>Brian K. Drew</t>
  </si>
  <si>
    <t>16 Brunswick Point Drive</t>
  </si>
  <si>
    <t>912-267-5663</t>
  </si>
  <si>
    <t>Briankdrew@Gmail.Com</t>
  </si>
  <si>
    <t>Alfred Drury</t>
  </si>
  <si>
    <t>126 W. Flanders Dr</t>
  </si>
  <si>
    <t>Brunswick, GA  31523</t>
  </si>
  <si>
    <t>Tony Early</t>
  </si>
  <si>
    <t>Clay Easterling</t>
  </si>
  <si>
    <t>1215 Connor Road</t>
  </si>
  <si>
    <t>Ft Sill, OK  73503</t>
  </si>
  <si>
    <t>Gwen Ellis</t>
  </si>
  <si>
    <t>716 Calibre Lake Parkway</t>
  </si>
  <si>
    <t>Smyrna GA 30083</t>
  </si>
  <si>
    <t>Stephen Esmond</t>
  </si>
  <si>
    <t>1015 Courtland Avenue</t>
  </si>
  <si>
    <t>Macon, GA  31204</t>
  </si>
  <si>
    <t>Geneva Evans</t>
  </si>
  <si>
    <t>Allen Evitts</t>
  </si>
  <si>
    <t>Cumming, GA</t>
  </si>
  <si>
    <t>404-713-5963</t>
  </si>
  <si>
    <t>Allenevitts@Mindspring.Com</t>
  </si>
  <si>
    <t>Kathy Faust Bunnell</t>
  </si>
  <si>
    <t>2908 Bridlewood Lane</t>
  </si>
  <si>
    <t>Jacksonville, FL 32257</t>
  </si>
  <si>
    <t>904-737-8032</t>
  </si>
  <si>
    <t>Kbbunnell@Comcast.Net</t>
  </si>
  <si>
    <t>Albert Fendig</t>
  </si>
  <si>
    <t>1535 Lake Koinonia Dr,</t>
  </si>
  <si>
    <t>Woodsrock, GA 30189</t>
  </si>
  <si>
    <t>770-516-1804</t>
  </si>
  <si>
    <t>Becky Fisher</t>
  </si>
  <si>
    <t>Henry Fleming</t>
  </si>
  <si>
    <t>331 Chatteris Road</t>
  </si>
  <si>
    <t>Irmo, SC  29063</t>
  </si>
  <si>
    <t>Patricia Flourence Stanford</t>
  </si>
  <si>
    <t>3200 Cypress Mill Road - #422</t>
  </si>
  <si>
    <t>Rusty Flournoy</t>
  </si>
  <si>
    <t>103 Cayman Court</t>
  </si>
  <si>
    <t>912-265-8079</t>
  </si>
  <si>
    <t>Rose Mary Flowers</t>
  </si>
  <si>
    <t>903 Bartow Street</t>
  </si>
  <si>
    <t>Donna Fox Mason</t>
  </si>
  <si>
    <t>110 Rosemont Street</t>
  </si>
  <si>
    <t>Saint Simons Island, GA 31522</t>
  </si>
  <si>
    <t>(912)638-5705</t>
  </si>
  <si>
    <t>Donnafmas@Comcast.Net</t>
  </si>
  <si>
    <t>Donna J. Frank</t>
  </si>
  <si>
    <t>P.O. Box 82</t>
  </si>
  <si>
    <t>White Oak, GA  31568</t>
  </si>
  <si>
    <t>E-Mail</t>
  </si>
  <si>
    <t>Date</t>
  </si>
  <si>
    <t>Sale</t>
  </si>
  <si>
    <t>Service</t>
  </si>
  <si>
    <t>Support</t>
  </si>
  <si>
    <t>Amount</t>
  </si>
  <si>
    <t>Girl Scout Cookie Sales</t>
  </si>
  <si>
    <t>Boxes Ordered</t>
  </si>
  <si>
    <t>Tag Alongs</t>
  </si>
  <si>
    <t>Thin Mints</t>
  </si>
  <si>
    <t>Daisy Go Rounds</t>
  </si>
  <si>
    <t>Trefolis</t>
  </si>
  <si>
    <t>Do-Si-Dos</t>
  </si>
  <si>
    <t>Samoas</t>
  </si>
  <si>
    <t>Total</t>
  </si>
  <si>
    <t>Total Boxes Ordered</t>
  </si>
  <si>
    <t>Number of Orders</t>
  </si>
  <si>
    <t>COUNT - Counts how many numbers are in the list of arguments</t>
  </si>
  <si>
    <t>COUNTA - Counts how many nonblank cells in the list of arguments</t>
  </si>
  <si>
    <t>2 cases</t>
  </si>
  <si>
    <t>1 case</t>
  </si>
  <si>
    <t>3 cases</t>
  </si>
  <si>
    <t>4 boxes</t>
  </si>
  <si>
    <t>6 boxes</t>
  </si>
  <si>
    <t>1 box</t>
  </si>
  <si>
    <t>3 boxes</t>
  </si>
  <si>
    <t>=AVERAGE(F4:F11)</t>
  </si>
  <si>
    <t>=AVERAGE(B4,B5,B6,B7,B8,B9,B10,B11)</t>
  </si>
  <si>
    <t>Comments:</t>
  </si>
  <si>
    <t>Blank cells are not calculated into the average</t>
  </si>
  <si>
    <t>Zeros are calculated into the average</t>
  </si>
  <si>
    <t>AVERAGE - Returns the average of a range of numbers</t>
  </si>
  <si>
    <t>COUNTBLANK - Counts the number of blank cells within a range</t>
  </si>
  <si>
    <t>Automobile Expense</t>
  </si>
  <si>
    <t>Bank Service Charges</t>
  </si>
  <si>
    <t>Conference Registration Fees</t>
  </si>
  <si>
    <t>Contract Labor</t>
  </si>
  <si>
    <t>Contributions</t>
  </si>
  <si>
    <t>Dues And Subscriptions</t>
  </si>
  <si>
    <t>Equipment Purchase</t>
  </si>
  <si>
    <t>Equipment Rental</t>
  </si>
  <si>
    <t>Hardware Purchase</t>
  </si>
  <si>
    <t>Insurance</t>
  </si>
  <si>
    <t>Marketing Giveaways</t>
  </si>
  <si>
    <t>Memberships</t>
  </si>
  <si>
    <t>Miscellaneous</t>
  </si>
  <si>
    <t>Office Supplies</t>
  </si>
  <si>
    <t>Online Computer Services</t>
  </si>
  <si>
    <t>Outside Services</t>
  </si>
  <si>
    <t>Partner Salary Draw</t>
  </si>
  <si>
    <t>Payroll Expenses</t>
  </si>
  <si>
    <t>Postage And Delivery</t>
  </si>
  <si>
    <t>Printing And Reproduction</t>
  </si>
  <si>
    <t>Purchase - The Accounting Libra</t>
  </si>
  <si>
    <t>Purchases Tal- Web Store Report</t>
  </si>
  <si>
    <t>Rent</t>
  </si>
  <si>
    <t>Repairs</t>
  </si>
  <si>
    <t>Software Purchase</t>
  </si>
  <si>
    <t>Ssi-Misc</t>
  </si>
  <si>
    <t>Federal</t>
  </si>
  <si>
    <t>Total Expenses</t>
  </si>
  <si>
    <t>560 Planters Wart Blvd</t>
  </si>
  <si>
    <t>San Francisco, CA</t>
  </si>
  <si>
    <t xml:space="preserve">Number of addresses missing </t>
  </si>
  <si>
    <t>Number of sales invoices</t>
  </si>
  <si>
    <t>Number of service invoices</t>
  </si>
  <si>
    <t>Number of support invoices</t>
  </si>
  <si>
    <t>VALUE - Converts text to a number</t>
  </si>
  <si>
    <t>Pos.</t>
  </si>
  <si>
    <t>Yr.</t>
  </si>
  <si>
    <t>Exp.</t>
  </si>
  <si>
    <t>Ht./Wt.</t>
  </si>
  <si>
    <t>Hometown (last school)</t>
  </si>
  <si>
    <t>Austin Long</t>
  </si>
  <si>
    <t>OL</t>
  </si>
  <si>
    <t>Fr.</t>
  </si>
  <si>
    <t>SQ</t>
  </si>
  <si>
    <t>6-5/268</t>
  </si>
  <si>
    <t>Memphis, TN (Briarcrest Christina HS)</t>
  </si>
  <si>
    <t>Branden Smith</t>
  </si>
  <si>
    <t>CB</t>
  </si>
  <si>
    <t>So.</t>
  </si>
  <si>
    <t>1V</t>
  </si>
  <si>
    <t>5-11/169</t>
  </si>
  <si>
    <t>Atlanta, GA (Washington HS)</t>
  </si>
  <si>
    <t>Brandon Boykin</t>
  </si>
  <si>
    <t>Jr.</t>
  </si>
  <si>
    <t>2V</t>
  </si>
  <si>
    <t>5-10/180</t>
  </si>
  <si>
    <t>Fayetteville, GA (Fayette County HS)</t>
  </si>
  <si>
    <t>Bryan Evans</t>
  </si>
  <si>
    <t>S</t>
  </si>
  <si>
    <t>Sr.</t>
  </si>
  <si>
    <t>4V</t>
  </si>
  <si>
    <t>5-11/197</t>
  </si>
  <si>
    <t>Jacksonville, FL (Ed White HS)</t>
  </si>
  <si>
    <t>Caleb King</t>
  </si>
  <si>
    <t>RB</t>
  </si>
  <si>
    <t>5-11/211</t>
  </si>
  <si>
    <t>Norcross, GA (Greater Atl. Christian HS)</t>
  </si>
  <si>
    <t>Zach Mettenberger</t>
  </si>
  <si>
    <t>QB</t>
  </si>
  <si>
    <t>6-5/239</t>
  </si>
  <si>
    <t>Watkinsville, GA (Oconee Co. HS)</t>
  </si>
  <si>
    <t>Logan Gray</t>
  </si>
  <si>
    <t>6-2/192</t>
  </si>
  <si>
    <t>Columbia, MO (Rock Bridge HS)</t>
  </si>
  <si>
    <t>Orson Charles</t>
  </si>
  <si>
    <t>TE</t>
  </si>
  <si>
    <t>6-3/232</t>
  </si>
  <si>
    <t>Tampa, FL (Plant HS)</t>
  </si>
  <si>
    <t>A.J. Green</t>
  </si>
  <si>
    <t>WR</t>
  </si>
  <si>
    <t>6-5/205</t>
  </si>
  <si>
    <t>Summerville, SC (Summerville HS)</t>
  </si>
  <si>
    <t>Reshad Jones</t>
  </si>
  <si>
    <t>6-2/215</t>
  </si>
  <si>
    <t>Jordan Love</t>
  </si>
  <si>
    <t>6-0/185</t>
  </si>
  <si>
    <t>Glen Allen, VA (Deep Run HS)</t>
  </si>
  <si>
    <t>Aaron Murray</t>
  </si>
  <si>
    <t>6-1/207</t>
  </si>
  <si>
    <t>Tavarres King</t>
  </si>
  <si>
    <t>6-1/182</t>
  </si>
  <si>
    <t>Mount Airy, GA (Habersham Central HS)</t>
  </si>
  <si>
    <t>Drew Butler</t>
  </si>
  <si>
    <t>P</t>
  </si>
  <si>
    <t>6-2/201</t>
  </si>
  <si>
    <t>Duluth, GA (Peachtree Ridge HS)</t>
  </si>
  <si>
    <t>Blake Sailors</t>
  </si>
  <si>
    <t>5-11/176</t>
  </si>
  <si>
    <t>Athens, GA (Oconee Co. HS)</t>
  </si>
  <si>
    <t>Marlon Brown</t>
  </si>
  <si>
    <t>HS</t>
  </si>
  <si>
    <t>6-5/212</t>
  </si>
  <si>
    <t>Memphis, TN (Harding Academy)</t>
  </si>
  <si>
    <t>Kris Durham</t>
  </si>
  <si>
    <t>3V</t>
  </si>
  <si>
    <t>6-5/206</t>
  </si>
  <si>
    <t>Calhoun, GA (Calhoun HS)</t>
  </si>
  <si>
    <t>Josh Murray</t>
  </si>
  <si>
    <t>Tampa, (Plant HS)</t>
  </si>
  <si>
    <t>Rantavious Wooten</t>
  </si>
  <si>
    <t>5-10/173</t>
  </si>
  <si>
    <t>Belle Grales, FL (Glades Central HS)</t>
  </si>
  <si>
    <t>Bacarri Rambo</t>
  </si>
  <si>
    <t>6-0/210</t>
  </si>
  <si>
    <t>Donalsonville, GA (Seminole County HS)</t>
  </si>
  <si>
    <t>Sanders Commings</t>
  </si>
  <si>
    <t>6-2/210</t>
  </si>
  <si>
    <t>Augusta, GA (Westside HS)</t>
  </si>
  <si>
    <t>Richard Samuel</t>
  </si>
  <si>
    <t>OLB</t>
  </si>
  <si>
    <t>6-2/218</t>
  </si>
  <si>
    <t>Cartersville, GA (Cass HS)</t>
  </si>
  <si>
    <t>Prince Miller</t>
  </si>
  <si>
    <t>5-8/195</t>
  </si>
  <si>
    <t>Duncan, SC (Byrnes HS)</t>
  </si>
  <si>
    <t>Jakar Hamilton</t>
  </si>
  <si>
    <t>JC</t>
  </si>
  <si>
    <t>6-2/196</t>
  </si>
  <si>
    <t>Edgeville, SC (Strom Thurmond HS)</t>
  </si>
  <si>
    <t>Washaun Ealey</t>
  </si>
  <si>
    <t>TB</t>
  </si>
  <si>
    <t>Stillmore, GA (ECI)</t>
  </si>
  <si>
    <t>Vance Cuff</t>
  </si>
  <si>
    <t>5-11/174</t>
  </si>
  <si>
    <t>Moultrie, GA (Colquitt Co. HS)</t>
  </si>
  <si>
    <t>Dontavius Jackson</t>
  </si>
  <si>
    <t>5-10/204</t>
  </si>
  <si>
    <t>Franklin, GA (Heard Co. HS)</t>
  </si>
  <si>
    <t>Israel Troupe</t>
  </si>
  <si>
    <t>6-1/209</t>
  </si>
  <si>
    <t>Tifton, GA (Tift County HS)</t>
  </si>
  <si>
    <t>Makiri Pugh</t>
  </si>
  <si>
    <t>6-0/201</t>
  </si>
  <si>
    <t>Charlotte, NC (Independence HS)</t>
  </si>
  <si>
    <t>Eric Elliot</t>
  </si>
  <si>
    <t>5-9/192</t>
  </si>
  <si>
    <t>Kennesaw, GA (Kennesaw Mountain)</t>
  </si>
  <si>
    <t>Carlton Thomas</t>
  </si>
  <si>
    <t>5-7/179</t>
  </si>
  <si>
    <t>Frostproof, FL (Frostproof HS)</t>
  </si>
  <si>
    <t>Quintin Banks</t>
  </si>
  <si>
    <t>Warner Robins, GA (Houston Co. HS)</t>
  </si>
  <si>
    <t>Brandon Bogotay</t>
  </si>
  <si>
    <t>K</t>
  </si>
  <si>
    <t>6-3/200</t>
  </si>
  <si>
    <t>San Diego, CA (Patrick Henry HS)</t>
  </si>
  <si>
    <t>Kalvin Daniels</t>
  </si>
  <si>
    <t>5-10/197</t>
  </si>
  <si>
    <t>Eastman, GA (Dodge Co. HS)</t>
  </si>
  <si>
    <t>Chase Vasser</t>
  </si>
  <si>
    <t>LB</t>
  </si>
  <si>
    <t>6-3/217</t>
  </si>
  <si>
    <t>Gainesville, GA (Chestatee HS)</t>
  </si>
  <si>
    <t>Rennie Curran</t>
  </si>
  <si>
    <t>5-11/226</t>
  </si>
  <si>
    <t>Snellville, GA (Brookwood HS)</t>
  </si>
  <si>
    <t>Shawn Williams</t>
  </si>
  <si>
    <t>6-1/200</t>
  </si>
  <si>
    <t>Blakely, GA (Earley Co. HS)</t>
  </si>
  <si>
    <t>Akeem Hebron</t>
  </si>
  <si>
    <t>6-1/226</t>
  </si>
  <si>
    <t>Gaithersburg, MD (Good Counsel HS)</t>
  </si>
  <si>
    <t>Marcus Dowtin</t>
  </si>
  <si>
    <t>ILB</t>
  </si>
  <si>
    <t>6-2/219</t>
  </si>
  <si>
    <t>Upper Marlboro, MD (Bishop O'Connell HS)</t>
  </si>
  <si>
    <t>Nick Williams</t>
  </si>
  <si>
    <t>Bainbridge, GA (Bainbridge HS)</t>
  </si>
  <si>
    <t>Justin Houston</t>
  </si>
  <si>
    <t>6-3/264</t>
  </si>
  <si>
    <t>Statesboro, GA (Statesboro HS)</t>
  </si>
  <si>
    <t>Kevin Lanier</t>
  </si>
  <si>
    <t>FB</t>
  </si>
  <si>
    <t>5-11/213</t>
  </si>
  <si>
    <t>Woodstock, GA (Marist HS)</t>
  </si>
  <si>
    <t>Charles White</t>
  </si>
  <si>
    <t>6-1/230</t>
  </si>
  <si>
    <t>Columbia, SC (Blythewood HS)</t>
  </si>
  <si>
    <t>Marcus Washington</t>
  </si>
  <si>
    <t>6-0/258</t>
  </si>
  <si>
    <t>Keysville, GA (Burke Co. HS)</t>
  </si>
  <si>
    <t>Josh Sailors</t>
  </si>
  <si>
    <t>5-9/240</t>
  </si>
  <si>
    <t>Christian Robinson</t>
  </si>
  <si>
    <t>6-2/217</t>
  </si>
  <si>
    <t>Chad Gloer</t>
  </si>
  <si>
    <t>5-10/198</t>
  </si>
  <si>
    <t>Fayetteville, GA (Starrs Mill HS)</t>
  </si>
  <si>
    <t>Jackson Griffeth</t>
  </si>
  <si>
    <t>6-2/197</t>
  </si>
  <si>
    <t>Gainesville, GA (North Hall HS)</t>
  </si>
  <si>
    <t>Fred Munzenmaier</t>
  </si>
  <si>
    <t>6-2/242</t>
  </si>
  <si>
    <t>Norcross, GA (Norcross HS)</t>
  </si>
  <si>
    <t>Shaun Chapas</t>
  </si>
  <si>
    <t>6-2/246</t>
  </si>
  <si>
    <t>St. Augustine, FL (Jacksonville Bolles HS)</t>
  </si>
  <si>
    <t>Darryl Gamble</t>
  </si>
  <si>
    <t>6-2/257</t>
  </si>
  <si>
    <t>Akeem Dent</t>
  </si>
  <si>
    <t>6-2/228</t>
  </si>
  <si>
    <t>Atlanta, GA (Douglass HS)</t>
  </si>
  <si>
    <t>Darius Dewberry</t>
  </si>
  <si>
    <t>6-3/233</t>
  </si>
  <si>
    <t>Fort Valley, GA (Peach Co. HS)</t>
  </si>
  <si>
    <t>Jeremy Longo</t>
  </si>
  <si>
    <t>6-3/258</t>
  </si>
  <si>
    <t>Ft. Lauderdale, FL (Cardinal Gibbons HS)</t>
  </si>
  <si>
    <t>Tanner Strickland</t>
  </si>
  <si>
    <t>G</t>
  </si>
  <si>
    <t>6-5/335</t>
  </si>
  <si>
    <t>Nashville, GA (Berrien County HS)</t>
  </si>
  <si>
    <t>Josh Parrish</t>
  </si>
  <si>
    <t>6-4/294</t>
  </si>
  <si>
    <t>Norcross, GA (Wesleyan HS)</t>
  </si>
  <si>
    <t>Mike Gilliard</t>
  </si>
  <si>
    <t>Valdosta, GA (Valdosta HS)</t>
  </si>
  <si>
    <t>Geno Atkins</t>
  </si>
  <si>
    <t>DT</t>
  </si>
  <si>
    <t>6-1/290</t>
  </si>
  <si>
    <t>Pembroke Pines, FL (St. Thomas Aquinas HS)</t>
  </si>
  <si>
    <t>Blair Walsh</t>
  </si>
  <si>
    <t>5-10/189</t>
  </si>
  <si>
    <t>Boca Raton, FL (Cardinal Gibbons HS)</t>
  </si>
  <si>
    <t>Demarcus Dobbs</t>
  </si>
  <si>
    <t>6-2/274</t>
  </si>
  <si>
    <t>Savannah, GA (Calvary Baptist HS)</t>
  </si>
  <si>
    <t>Casey Nickels</t>
  </si>
  <si>
    <t>6-4/277</t>
  </si>
  <si>
    <t>Tignall, GA (Washington-Wilkes HS)</t>
  </si>
  <si>
    <t>Clint Boling</t>
  </si>
  <si>
    <t>T</t>
  </si>
  <si>
    <t>6-5/304</t>
  </si>
  <si>
    <t>Alpharetta, GA (Chattahoochee HS)</t>
  </si>
  <si>
    <t>Ben Jones</t>
  </si>
  <si>
    <t>6-3/298</t>
  </si>
  <si>
    <t>Centerville, AL (Bibb County HS)</t>
  </si>
  <si>
    <t>Chris Davis</t>
  </si>
  <si>
    <t>6-4/295</t>
  </si>
  <si>
    <t>Jefferson, GA (Jefferson HS)</t>
  </si>
  <si>
    <t>Matthew DeGenova</t>
  </si>
  <si>
    <t>6-1/212</t>
  </si>
  <si>
    <t>Kenner, LA (Jesuit HS)</t>
  </si>
  <si>
    <t>Dallas Lee</t>
  </si>
  <si>
    <t>Buford, GA (Buford HS)</t>
  </si>
  <si>
    <t>Jonathan Owens</t>
  </si>
  <si>
    <t>6-4/298</t>
  </si>
  <si>
    <t>Blountsville, AL (Susan Moore HS)</t>
  </si>
  <si>
    <t>Ben Harbin</t>
  </si>
  <si>
    <t>6-3/230</t>
  </si>
  <si>
    <t>Dalton, GA (Dalton HS)</t>
  </si>
  <si>
    <t>Chris Burnette</t>
  </si>
  <si>
    <t>OG</t>
  </si>
  <si>
    <t>6-2/291</t>
  </si>
  <si>
    <t>LaGrange, GA (Troupe County HS)</t>
  </si>
  <si>
    <t>AJ Harmon</t>
  </si>
  <si>
    <t>6-5/310</t>
  </si>
  <si>
    <t>Louisville, GA (Jefferson Co. HS)</t>
  </si>
  <si>
    <t>Cordy Glenn</t>
  </si>
  <si>
    <t>6-5/329</t>
  </si>
  <si>
    <t>Riverdale, GA (Riverdale HS)</t>
  </si>
  <si>
    <t>Vince Vance</t>
  </si>
  <si>
    <t>6-8/325</t>
  </si>
  <si>
    <t>Hinesville, GA (Bradwell Institute)</t>
  </si>
  <si>
    <t>Kiante Tripp</t>
  </si>
  <si>
    <t>6-6/276</t>
  </si>
  <si>
    <t>Atlanta, GA (Westlake HS)</t>
  </si>
  <si>
    <t>Ben Harden</t>
  </si>
  <si>
    <t>6-3/310</t>
  </si>
  <si>
    <t>Perry, GA (Perry HS)</t>
  </si>
  <si>
    <t>Trinton Sturdivant</t>
  </si>
  <si>
    <t>6-5/305</t>
  </si>
  <si>
    <t>Wadesboro, NC (Anson HS)</t>
  </si>
  <si>
    <t>Josh Davis</t>
  </si>
  <si>
    <t>6-6/305</t>
  </si>
  <si>
    <t>Jayess, MS (Tylertown HS)</t>
  </si>
  <si>
    <t>Justin Anderson</t>
  </si>
  <si>
    <t>6-5/328</t>
  </si>
  <si>
    <t>Ocilla, GA (Irwin Co. HS)</t>
  </si>
  <si>
    <t>Zach Renner</t>
  </si>
  <si>
    <t>Monroe, CT (New Canaan HS)</t>
  </si>
  <si>
    <t>Aron White</t>
  </si>
  <si>
    <t>6-4/234</t>
  </si>
  <si>
    <t>Mike Moore</t>
  </si>
  <si>
    <t>6-2/202</t>
  </si>
  <si>
    <t>Fort Lauderdale, FL (American Heritage HS)</t>
  </si>
  <si>
    <t>Cornelius Washington</t>
  </si>
  <si>
    <t>6-4/247</t>
  </si>
  <si>
    <t>Hephzibah, GA (Burke Co. HS)</t>
  </si>
  <si>
    <t>Bryce Ros</t>
  </si>
  <si>
    <t>6-4/231</t>
  </si>
  <si>
    <t>Kennesaw, GA (Kennesaw Mountain HS)</t>
  </si>
  <si>
    <t>Derrick Lott</t>
  </si>
  <si>
    <t>Kennesaw, GA (North Cobb HS)</t>
  </si>
  <si>
    <t>Derek Rich</t>
  </si>
  <si>
    <t>6-2/258</t>
  </si>
  <si>
    <t>Gainesville, GA (North Hall)</t>
  </si>
  <si>
    <t>Reuben Faloughi</t>
  </si>
  <si>
    <t>6-5/234</t>
  </si>
  <si>
    <t>Martinez, GA (Evans HS)</t>
  </si>
  <si>
    <t>Arthur Lynch</t>
  </si>
  <si>
    <t>6-5/254</t>
  </si>
  <si>
    <t>Dartmouth, MA (Dartmouth HS)</t>
  </si>
  <si>
    <t>Bruce Figgins</t>
  </si>
  <si>
    <t>6-4/270</t>
  </si>
  <si>
    <t>Columbus, GA (Shaw HS)</t>
  </si>
  <si>
    <t>Montez Robinson</t>
  </si>
  <si>
    <t>Avon, IN (Avon HS)</t>
  </si>
  <si>
    <t>Kade Weston</t>
  </si>
  <si>
    <t>6-5/316</t>
  </si>
  <si>
    <t>Red Bank, NJ (Red Bank Reg. HS)</t>
  </si>
  <si>
    <t>Jordan Stowe</t>
  </si>
  <si>
    <t>6-4/211</t>
  </si>
  <si>
    <t>Lilburn, GA (Parkview HS)</t>
  </si>
  <si>
    <t>Brandon Wheeling</t>
  </si>
  <si>
    <t>DL</t>
  </si>
  <si>
    <t>TR</t>
  </si>
  <si>
    <t>6-3/288</t>
  </si>
  <si>
    <t>Dallas, GA (Paulding Co. HS)</t>
  </si>
  <si>
    <t>Abry Jones</t>
  </si>
  <si>
    <t>6-3/295</t>
  </si>
  <si>
    <t>Warner Robins, GA (Northside HS)</t>
  </si>
  <si>
    <t>DeAngelo Tyson</t>
  </si>
  <si>
    <t>NT</t>
  </si>
  <si>
    <t>6-2/292</t>
  </si>
  <si>
    <t>Jeff Owens</t>
  </si>
  <si>
    <t>6-3/300</t>
  </si>
  <si>
    <t>Sunrise, FL (Plantation HS)</t>
  </si>
  <si>
    <t>Ty Frix</t>
  </si>
  <si>
    <t>LS</t>
  </si>
  <si>
    <t>6-0/211</t>
  </si>
  <si>
    <t>Brandon Wood</t>
  </si>
  <si>
    <t>6-1/284</t>
  </si>
  <si>
    <t>Buchanan, GA (Haralson Co. HS)</t>
  </si>
  <si>
    <t>Trent Dittmer</t>
  </si>
  <si>
    <t>5-9/178</t>
  </si>
  <si>
    <t>Cartersville, GA (Cartersville HS)</t>
  </si>
  <si>
    <t>Ricardo Crawford</t>
  </si>
  <si>
    <t>6-1/310</t>
  </si>
  <si>
    <t>Fair Bluff, NC (West Columbus HS)</t>
  </si>
  <si>
    <t>Kwame Geathers</t>
  </si>
  <si>
    <t>6-5/326</t>
  </si>
  <si>
    <t>Carver's Bay, S.C., (Carver's Bay)</t>
  </si>
  <si>
    <t>2010 Georgia Bulldog Roster</t>
  </si>
  <si>
    <t>http://uga.rivals.com/croster.asp</t>
  </si>
  <si>
    <t>=Right</t>
  </si>
  <si>
    <t>=Value</t>
  </si>
  <si>
    <t>TEXT - Formats a number and converts it to text</t>
  </si>
  <si>
    <t xml:space="preserve">Susan's commission for the month of March was </t>
  </si>
  <si>
    <t xml:space="preserve">Mark's commission for the month of March was </t>
  </si>
  <si>
    <t xml:space="preserve">Sam's commission for the month of March was </t>
  </si>
  <si>
    <t xml:space="preserve">Fred's commission for the month of March was </t>
  </si>
  <si>
    <t xml:space="preserve">Steve's commission for the month of March was </t>
  </si>
  <si>
    <t>From</t>
  </si>
  <si>
    <t>To</t>
  </si>
  <si>
    <t>Percent</t>
  </si>
  <si>
    <t xml:space="preserve">and up  </t>
  </si>
  <si>
    <t>If Taxable Income =</t>
  </si>
  <si>
    <t>Then the Base Income =</t>
  </si>
  <si>
    <t>Then the Base Tax =</t>
  </si>
  <si>
    <t>Then the Incremental Tax Rate =</t>
  </si>
  <si>
    <t>Total Tax =</t>
  </si>
  <si>
    <t>Expense 1</t>
  </si>
  <si>
    <t>Expense 2</t>
  </si>
  <si>
    <t>Expense 3</t>
  </si>
  <si>
    <t>Expense 4</t>
  </si>
  <si>
    <t>Expense 5</t>
  </si>
  <si>
    <t>Expense 6</t>
  </si>
  <si>
    <t>Expense 7</t>
  </si>
  <si>
    <t>Suntotal</t>
  </si>
  <si>
    <t>Net Income After Taxes</t>
  </si>
  <si>
    <t>HLOOKUP - Looks in the top row of an array and returns the value of the indicated cell</t>
  </si>
  <si>
    <r>
      <t xml:space="preserve">VLOOKUP - </t>
    </r>
    <r>
      <rPr>
        <b/>
        <sz val="16"/>
        <color theme="1"/>
        <rFont val="Calibri"/>
        <family val="2"/>
        <scheme val="minor"/>
      </rPr>
      <t>Looks in the first column of an array and moves across the row to return the value of a cell</t>
    </r>
  </si>
  <si>
    <t>Rank</t>
  </si>
  <si>
    <t>Player</t>
  </si>
  <si>
    <t>Pos</t>
  </si>
  <si>
    <t>Cl</t>
  </si>
  <si>
    <t>Gm</t>
  </si>
  <si>
    <t>Carries</t>
  </si>
  <si>
    <t>Net</t>
  </si>
  <si>
    <t>TDs</t>
  </si>
  <si>
    <t>Avg</t>
  </si>
  <si>
    <t>Ydspgm</t>
  </si>
  <si>
    <t>Ryan Mathews, Fresno St.</t>
  </si>
  <si>
    <t>JR</t>
  </si>
  <si>
    <t>Toby Gerhart, Stanford</t>
  </si>
  <si>
    <t>SR</t>
  </si>
  <si>
    <t>Dion Lewis, Pittsburgh</t>
  </si>
  <si>
    <t>FR</t>
  </si>
  <si>
    <t>Donald Buckram, UTEP</t>
  </si>
  <si>
    <t>Ryan Williams, Virginia Tech</t>
  </si>
  <si>
    <t>Anthony Dixon, Mississippi St.</t>
  </si>
  <si>
    <t>Curtis Steele, Memphis</t>
  </si>
  <si>
    <t>Vai Taua, Nevada</t>
  </si>
  <si>
    <t>LaMichael James, Oregon</t>
  </si>
  <si>
    <t>Joe Webb, UAB</t>
  </si>
  <si>
    <t>Mark Ingram, Alabama</t>
  </si>
  <si>
    <t>SO</t>
  </si>
  <si>
    <t>John Clay, Wisconsin</t>
  </si>
  <si>
    <t>Alfred Morris, Fla. Atlantic</t>
  </si>
  <si>
    <t>Lance Dunbar, North Texas</t>
  </si>
  <si>
    <t>Bernard Pierce, Temple</t>
  </si>
  <si>
    <t>Darius Marshall, Marshall</t>
  </si>
  <si>
    <t>Noel Devine, West Virginia</t>
  </si>
  <si>
    <t>Montel Harris, Boston College</t>
  </si>
  <si>
    <t>Jacquizz Rodgers, Oregon St.</t>
  </si>
  <si>
    <t>Robert Turbin, Utah St.</t>
  </si>
  <si>
    <t>Daniel Thomas, Kansas St.</t>
  </si>
  <si>
    <t>Ben Tate, Auburn</t>
  </si>
  <si>
    <t>Montario Hardesty, Tennessee</t>
  </si>
  <si>
    <t>Jonathan Dwyer, Georgia Tech</t>
  </si>
  <si>
    <t>Alexander Robinson, Iowa St.</t>
  </si>
  <si>
    <t>Dominique Lindsay, East Carolina</t>
  </si>
  <si>
    <t>Brandon West, Western Mich.</t>
  </si>
  <si>
    <t>Daniel Porter, Louisiana Tech</t>
  </si>
  <si>
    <t>Frank Goodin, La.-Monroe</t>
  </si>
  <si>
    <t>Keith Toston, Oklahoma St.</t>
  </si>
  <si>
    <t>Chris Polk, Washington</t>
  </si>
  <si>
    <t>Brynn Harvey, UCF</t>
  </si>
  <si>
    <t>Ricky Dobbs, Navy</t>
  </si>
  <si>
    <t>Jordan Todman, Connecticut</t>
  </si>
  <si>
    <t>Shawnbrey McNeal, SMU</t>
  </si>
  <si>
    <t>Colin Kaepernick, Nevada</t>
  </si>
  <si>
    <t>Harvey Unga, BYU</t>
  </si>
  <si>
    <t>Dexter McCluster, Mississippi</t>
  </si>
  <si>
    <t>Evan Royster, Penn St.</t>
  </si>
  <si>
    <t>Dwight Dasher, Middle Tenn.</t>
  </si>
  <si>
    <t>C.J. Spiller, Clemson</t>
  </si>
  <si>
    <t>Luke Lippincott, Nevada</t>
  </si>
  <si>
    <t>Delone Carter, Syracuse</t>
  </si>
  <si>
    <t>Andre Anderson, Tulane</t>
  </si>
  <si>
    <t>Damion Fletcher, Southern Miss.</t>
  </si>
  <si>
    <t>Joe McKnight, Southern California</t>
  </si>
  <si>
    <t>Andre Dixon, Connecticut</t>
  </si>
  <si>
    <t>DaJuane Collins, Toledo</t>
  </si>
  <si>
    <t>Eddie Wide, Utah</t>
  </si>
  <si>
    <t>Jeremy Avery, Boise St.</t>
  </si>
  <si>
    <t>Roy Helu Jr., Nebraska</t>
  </si>
  <si>
    <t>Chad Spann, Northern Ill.</t>
  </si>
  <si>
    <t>Bobby Rainey, Western Ky.</t>
  </si>
  <si>
    <t>Seth Smith, New Mexico St.</t>
  </si>
  <si>
    <t>Ralph Bolden, Purdue</t>
  </si>
  <si>
    <t>Leonard Mason, Colorado St.</t>
  </si>
  <si>
    <t>Adam Robinson, Iowa</t>
  </si>
  <si>
    <t>Derrick Locke, Kentucky</t>
  </si>
  <si>
    <t>DeMaundray Woolridge, Idaho</t>
  </si>
  <si>
    <t>Vince Murray, Navy</t>
  </si>
  <si>
    <t>Jared Tew, Air Force</t>
  </si>
  <si>
    <t>Joe Martinek, Rutgers</t>
  </si>
  <si>
    <t>Josh Nesbitt, Georgia Tech</t>
  </si>
  <si>
    <t>Shane Vereen, California</t>
  </si>
  <si>
    <t>Rodney Stewart, Colorado</t>
  </si>
  <si>
    <t>MiQuale Lewis, Ball St.</t>
  </si>
  <si>
    <t>D.D. Kyles, Middle Tenn.</t>
  </si>
  <si>
    <t>Christine Michael, Texas A&amp;M</t>
  </si>
  <si>
    <t>Baron Batch, Texas Tech</t>
  </si>
  <si>
    <t>Darius Willis, Indiana</t>
  </si>
  <si>
    <t>Mikel Leshoure, Illinois</t>
  </si>
  <si>
    <t>Asher Clark, Air Force</t>
  </si>
  <si>
    <t>Derrick Washington, Missouri</t>
  </si>
  <si>
    <t>Dimitri Nance, Arizona St.</t>
  </si>
  <si>
    <t>Warren Norman, Vanderbilt</t>
  </si>
  <si>
    <t>Tim Tebow, Florida</t>
  </si>
  <si>
    <t>Toney Baker, North Carolina St.</t>
  </si>
  <si>
    <t>Jermaine Thomas, Florida St.</t>
  </si>
  <si>
    <t>Isaiah Pead, Cincinnati</t>
  </si>
  <si>
    <t>Reggie Arnold, Arkansas St.</t>
  </si>
  <si>
    <t>Daneil Herron, Ohio St.</t>
  </si>
  <si>
    <t>Terrelle Pryor, Ohio St.</t>
  </si>
  <si>
    <t>Caleb King, Georgia</t>
  </si>
  <si>
    <t>B.J. Daniels, South Fla.</t>
  </si>
  <si>
    <t>John Mosure, Colorado St.</t>
  </si>
  <si>
    <t>Trent Steelman, Army</t>
  </si>
  <si>
    <t>DeMarco Murray, Oklahoma</t>
  </si>
  <si>
    <t>Meco Brown, Northern Ill.</t>
  </si>
  <si>
    <t>Cyrus Gray, Texas A&amp;M</t>
  </si>
  <si>
    <t>Joseph Turner, TCU</t>
  </si>
  <si>
    <t>Graig Cooper, Miami (FL)</t>
  </si>
  <si>
    <t>Chris Brown, Oklahoma</t>
  </si>
  <si>
    <t>Dwayne Priest, Eastern Mich.</t>
  </si>
  <si>
    <t>Brandon Saine, Ohio St.</t>
  </si>
  <si>
    <t>Nic Grigsby, Arizona</t>
  </si>
  <si>
    <t>Shaun Draughn, North Carolina</t>
  </si>
  <si>
    <t>Patrick Mealy, Army</t>
  </si>
  <si>
    <t>Brandon Sullivan, San Diego St.</t>
  </si>
  <si>
    <t>Jeremiah Masoli, Oregon</t>
  </si>
  <si>
    <t>Ryan Houston, North Carolina</t>
  </si>
  <si>
    <t>Stat</t>
  </si>
  <si>
    <t>Two Way Look Up</t>
  </si>
  <si>
    <t>Quantity Break Pricing for Stereo Shoes</t>
  </si>
  <si>
    <t>2 to 5</t>
  </si>
  <si>
    <t>6 to 10</t>
  </si>
  <si>
    <t>11 to 15</t>
  </si>
  <si>
    <t>16 to 20</t>
  </si>
  <si>
    <t>21 to 30</t>
  </si>
  <si>
    <t>31 to 50</t>
  </si>
  <si>
    <t>51 to 100</t>
  </si>
  <si>
    <t>100 or more</t>
  </si>
  <si>
    <t>Order Form</t>
  </si>
  <si>
    <t>Mahatma Ghandi</t>
  </si>
  <si>
    <t>1012 Spiffy Road</t>
  </si>
  <si>
    <t>Sri Lanka, India</t>
  </si>
  <si>
    <t>Stereo Shoes</t>
  </si>
  <si>
    <t>Item</t>
  </si>
  <si>
    <t>QTY</t>
  </si>
  <si>
    <t>=LOOKUP(C2,{0,60,63,67,70,73,77,80,83,87,90,93,97},{"F","D-","D","D+","C-","C","C+","B-","B","B+","A-","A","A+"})</t>
  </si>
  <si>
    <t>Number Grade</t>
  </si>
  <si>
    <t>Mark</t>
  </si>
  <si>
    <t>Sam</t>
  </si>
  <si>
    <t>Greg</t>
  </si>
  <si>
    <t>Jesse</t>
  </si>
  <si>
    <t>Stewart</t>
  </si>
  <si>
    <t>Fred</t>
  </si>
  <si>
    <t>martha</t>
  </si>
  <si>
    <t>Betty</t>
  </si>
  <si>
    <t>Carrie</t>
  </si>
  <si>
    <t>Fortnoy</t>
  </si>
  <si>
    <t>Similar to =CHOOSE</t>
  </si>
  <si>
    <t>Lists must be in descending order to work properly</t>
  </si>
  <si>
    <t>MATCH - Looks up values in a reference or array</t>
  </si>
  <si>
    <t>(Like VLOOKUP, But Returns Position Instead of Data)</t>
  </si>
  <si>
    <t xml:space="preserve">    Mickey Mouse     $45,000      344-55-3221    Orlando,    Florida</t>
  </si>
  <si>
    <t>Goofy,     $56,000     222-33-8877      Orlando, Florida</t>
  </si>
  <si>
    <t>TRIM - Removes spaces from text</t>
  </si>
  <si>
    <t>PROPER - Capitalizes the first letter in each word of a text value</t>
  </si>
  <si>
    <t>LOWER - Converts text to lowercase</t>
  </si>
  <si>
    <t>WE THE PEOPLE OF THE UNITED STATES</t>
  </si>
  <si>
    <t>IN ORDER TO FORM A MORE PERFECT UNION</t>
  </si>
  <si>
    <t>ESTABLISH JUSTICE</t>
  </si>
  <si>
    <t>INSURE DOMESTIC TRANQUILITY</t>
  </si>
  <si>
    <t>PROVIDE FOR THE COMMON DEFENSE</t>
  </si>
  <si>
    <t>PROMOTE THE GENERAL WELFARE</t>
  </si>
  <si>
    <t>AND SECURE THE BLESSINGS OF LIBERTY TO OURSELVES AND OUR POSTERITY</t>
  </si>
  <si>
    <t xml:space="preserve">DO ORDAIN AND ESTABLISH THIS CONSTITUTION FOR THE UNITED STATES OF AMERICA. </t>
  </si>
  <si>
    <t>LEFT, LEFTB - Returns the leftmost characters from a text value</t>
  </si>
  <si>
    <t>Inventory Report</t>
  </si>
  <si>
    <t>LaCie 5big Network</t>
  </si>
  <si>
    <t>Eaton 5110 UPS 1000VA</t>
  </si>
  <si>
    <t>HP ProLiant DL360 G5</t>
  </si>
  <si>
    <t>AutoCAD 2010 HP Z200 Bundle</t>
  </si>
  <si>
    <t>Sony HVR-HD1000U Mini DV</t>
  </si>
  <si>
    <t>Flip Video ™ Mino Camcorder</t>
  </si>
  <si>
    <t>Sony CR 2032 - battery - CR2032 - Li</t>
  </si>
  <si>
    <t>Energizer MAX 16-Pack AA Batteries</t>
  </si>
  <si>
    <t>Fellowes Powershred® C-420C</t>
  </si>
  <si>
    <t>HP 640 Fax</t>
  </si>
  <si>
    <t>HP 35s Scientific calculator</t>
  </si>
  <si>
    <t>Kensington MicroSaver Security Lock</t>
  </si>
  <si>
    <t>Warehouse/Part Number</t>
  </si>
  <si>
    <t>Qty On Hand</t>
  </si>
  <si>
    <t>Reorder Point</t>
  </si>
  <si>
    <t>Sales Price</t>
  </si>
  <si>
    <t>HD78578WHSE-1</t>
  </si>
  <si>
    <t>NJ98658WHSE-1</t>
  </si>
  <si>
    <t>BC98576WHSE-1</t>
  </si>
  <si>
    <t>SD07457WHSE-1</t>
  </si>
  <si>
    <t>PO7575WHSE-1</t>
  </si>
  <si>
    <t>TF87357WHSE-1</t>
  </si>
  <si>
    <t>WS90759WHSE-1</t>
  </si>
  <si>
    <t>CF87587WHSE-1</t>
  </si>
  <si>
    <t>TG98759WHSE-1</t>
  </si>
  <si>
    <t>BD07798WHSE-1</t>
  </si>
  <si>
    <t>GH96876WHSE-1</t>
  </si>
  <si>
    <t>XD-0885WHSE-1</t>
  </si>
  <si>
    <t>HD78578WHSE-2</t>
  </si>
  <si>
    <t>NJ98658WHSE-2</t>
  </si>
  <si>
    <t>BC98576WHSE-2</t>
  </si>
  <si>
    <t>SD07457WHSE-2</t>
  </si>
  <si>
    <t>PO7575WHSE-2</t>
  </si>
  <si>
    <t>TF87357WHSE-2</t>
  </si>
  <si>
    <t>WS90759WHSE-2</t>
  </si>
  <si>
    <t>CF87587WHSE-2</t>
  </si>
  <si>
    <t>TG98759WHSE-2</t>
  </si>
  <si>
    <t>BD07798WHSE-2</t>
  </si>
  <si>
    <t>GH96876WHSE-2</t>
  </si>
  <si>
    <t>XD-0885WHSE-2</t>
  </si>
  <si>
    <t>HD78578WHSE-3</t>
  </si>
  <si>
    <t>NJ98658WHSE-3</t>
  </si>
  <si>
    <t>BC98576WHSE-3</t>
  </si>
  <si>
    <t>SD07457WHSE-3</t>
  </si>
  <si>
    <t>PO7575WHSE-3</t>
  </si>
  <si>
    <t>TF87357WHSE-3</t>
  </si>
  <si>
    <t>WS90759WHSE-3</t>
  </si>
  <si>
    <t>CF87587WHSE-3</t>
  </si>
  <si>
    <t>TG98759WHSE-3</t>
  </si>
  <si>
    <t>BD07798WHSE-3</t>
  </si>
  <si>
    <t>GH96876WHSE-3</t>
  </si>
  <si>
    <t>XD-0885WHSE-3</t>
  </si>
  <si>
    <t>HD78578WHSE-4</t>
  </si>
  <si>
    <t>NJ98658WHSE-4</t>
  </si>
  <si>
    <t>BC98576WHSE-4</t>
  </si>
  <si>
    <t>SD07457WHSE-4</t>
  </si>
  <si>
    <t>PO7575WHSE-4</t>
  </si>
  <si>
    <t>TF87357WHSE-4</t>
  </si>
  <si>
    <t>WS90759WHSE-4</t>
  </si>
  <si>
    <t>CF87587WHSE-4</t>
  </si>
  <si>
    <t>TG98759WHSE-4</t>
  </si>
  <si>
    <t>BD07798WHSE-4</t>
  </si>
  <si>
    <t>GH96876WHSE-4</t>
  </si>
  <si>
    <t>XD-0885WHSE-4</t>
  </si>
  <si>
    <t>FIND - Finds one text value within another (case-sensitive)</t>
  </si>
  <si>
    <t>Find</t>
  </si>
  <si>
    <t>REPLACE - Replaces text in a string with alternative text</t>
  </si>
  <si>
    <t>=SUBSTITUTE(B3,"(","")</t>
  </si>
  <si>
    <t>=SUBSTITUTE(C3,")","")</t>
  </si>
  <si>
    <t>(Atlanta)</t>
  </si>
  <si>
    <t>(Jacksonville)</t>
  </si>
  <si>
    <t>Detroit</t>
  </si>
  <si>
    <t>Lansing</t>
  </si>
  <si>
    <t>(Dallas)</t>
  </si>
  <si>
    <t>(Boston)</t>
  </si>
  <si>
    <t>Philadelphia</t>
  </si>
  <si>
    <t>Use SUBSTITUTE when you want to replace specific text in a text string; use REPLACE when you want to replace any text that occurs in a specific location in a text string.</t>
  </si>
  <si>
    <t>SUBSTITUTE - Substitutes new text for old text in a text string</t>
  </si>
  <si>
    <t>Use SUBSTITUTE when you want to replace specific text in a text string; 
Use REPLACE when you want to replace any text that occurs in a specific location in a text string.</t>
  </si>
  <si>
    <t>Original Text</t>
  </si>
  <si>
    <t>Remove Left Parenthesis</t>
  </si>
  <si>
    <t>Remove Right Parenthesis</t>
  </si>
  <si>
    <t>912-265-8716</t>
  </si>
  <si>
    <t>912/264-5910</t>
  </si>
  <si>
    <t>912/638-7973</t>
  </si>
  <si>
    <t>904/268-0851</t>
  </si>
  <si>
    <t>912 369-3354</t>
  </si>
  <si>
    <t>455 668-8923</t>
  </si>
  <si>
    <t>912 369-3336</t>
  </si>
  <si>
    <t>912\638-5009</t>
  </si>
  <si>
    <t>255\445-6778</t>
  </si>
  <si>
    <t>344=654-8990</t>
  </si>
  <si>
    <t>City &amp; State</t>
  </si>
  <si>
    <t>Clean Phone</t>
  </si>
  <si>
    <t>34 Nancy Creek</t>
  </si>
  <si>
    <t>78 Pillar Way</t>
  </si>
  <si>
    <t>Templeton, NB 54443</t>
  </si>
  <si>
    <t>1200 Salem Walk</t>
  </si>
  <si>
    <t>Manor Place, TX 23443</t>
  </si>
  <si>
    <t>MID - Returns a specific number of characters from a text string starting at the position you specify</t>
  </si>
  <si>
    <t>Carver's Bay, SC, (Carver's Bay)</t>
  </si>
  <si>
    <t>CONCATENATE - Joins several text items into one text item</t>
  </si>
  <si>
    <t>The "&amp;" does the same thing</t>
  </si>
  <si>
    <t>Alan</t>
  </si>
  <si>
    <t>Akers</t>
  </si>
  <si>
    <t>Robin</t>
  </si>
  <si>
    <t>Allen</t>
  </si>
  <si>
    <t>Ricky</t>
  </si>
  <si>
    <t>Albright</t>
  </si>
  <si>
    <t>Tamara</t>
  </si>
  <si>
    <t>Andrews</t>
  </si>
  <si>
    <t>Joanna</t>
  </si>
  <si>
    <t>Arbo</t>
  </si>
  <si>
    <t>Donnie</t>
  </si>
  <si>
    <t>Aspinwall</t>
  </si>
  <si>
    <t>Kelly</t>
  </si>
  <si>
    <t>Astle</t>
  </si>
  <si>
    <t>Alphonso</t>
  </si>
  <si>
    <t>Atkinson</t>
  </si>
  <si>
    <t>Alvin</t>
  </si>
  <si>
    <t>Danette</t>
  </si>
  <si>
    <t>Austin</t>
  </si>
  <si>
    <t>Yvonne</t>
  </si>
  <si>
    <t>Baker</t>
  </si>
  <si>
    <t>Williams</t>
  </si>
  <si>
    <t>Susan</t>
  </si>
  <si>
    <t>John</t>
  </si>
  <si>
    <t>Bakley</t>
  </si>
  <si>
    <t>Teresa</t>
  </si>
  <si>
    <t>Baldwin</t>
  </si>
  <si>
    <t>Richard</t>
  </si>
  <si>
    <t>Banks</t>
  </si>
  <si>
    <t>Charles</t>
  </si>
  <si>
    <t>Political Contibutions</t>
  </si>
  <si>
    <t>CLEAN - Removes all nonprintable characters from text</t>
  </si>
  <si>
    <t>UPPER - Converts text to uppercase</t>
  </si>
  <si>
    <t>Milledgeville, GA 66532</t>
  </si>
  <si>
    <t>LEN - Returns the number of characters in a text string</t>
  </si>
  <si>
    <t>Smith, Todd, (770) 543-2344, $35,000, (Manager), Todd@ABC.com, ToddSmith@abc.com</t>
  </si>
  <si>
    <t>Johnson, Gretta, (779) 233-4775, $67,000, (Sr. Manager), Gretta@abc.com, GrettaJ@abc.com</t>
  </si>
  <si>
    <t>Cook, Jim, (900) 232-6363, $55,000, (Support), Jim@hotmail.com, Jim@Jimcook.com</t>
  </si>
  <si>
    <t>Olgesby, Kathy, (212) 444-5766, ($88,000), (Marketing), Kat@abc.com</t>
  </si>
  <si>
    <t>Length of second 
e-mail</t>
  </si>
  <si>
    <t>Chop Off Second E-Mail</t>
  </si>
  <si>
    <t>Extract First
E-Mail</t>
  </si>
  <si>
    <t>Extract 
Second 
E-Mail</t>
  </si>
  <si>
    <t>Powell, Billy Bob, (512) 433-8772, $23,000, (Sales Rep), Billy@hotmail.com, BPowell@abc.com</t>
  </si>
  <si>
    <t>Sneed, Samuel L., (612) 655-1233, $189,000, (Instructor), Sam@abc.com</t>
  </si>
  <si>
    <t>Rogers, Ginger, (800) 555-3224, $1,145,000, (Board Member), Ginger@Fred.com</t>
  </si>
  <si>
    <t>Number of E-Mails</t>
  </si>
  <si>
    <t>Length</t>
  </si>
  <si>
    <t>Use "Substitute" to remove "@":</t>
  </si>
  <si>
    <t>=RIGHT(A15,LEN(A15)-SEARCH("#",SUBSTITUTE(A15," ","#",LEN(A15)-LEN(SUBSTITUTE(A15," ","")))))</t>
  </si>
  <si>
    <t>Here are the Steps</t>
  </si>
  <si>
    <t>See explanations below</t>
  </si>
  <si>
    <t>LEN - Advanced example - Extract the E-Mails for the text</t>
  </si>
  <si>
    <t>First E-Mail</t>
  </si>
  <si>
    <t>Second E-Mail</t>
  </si>
  <si>
    <t>Summary of E-Mails</t>
  </si>
  <si>
    <t>NOW - Returns the serial number of the current date and time</t>
  </si>
  <si>
    <t>Date and Time Stamp:</t>
  </si>
  <si>
    <t>TODAY - Returns the serial number of today's date</t>
  </si>
  <si>
    <t>Today's Date</t>
  </si>
  <si>
    <t>Format however you like</t>
  </si>
  <si>
    <t>Data Functions</t>
  </si>
  <si>
    <t>1/2/08</t>
  </si>
  <si>
    <t>Year =</t>
  </si>
  <si>
    <t>ROUND - Rounds a number to a specified number of digits</t>
  </si>
  <si>
    <t>Northwind Traders</t>
  </si>
  <si>
    <t>Profit and Loss</t>
  </si>
  <si>
    <t>ROUNDDOWN - Rounds a number down, toward zero</t>
  </si>
  <si>
    <t>Round UP:</t>
  </si>
  <si>
    <t>Round Down:</t>
  </si>
  <si>
    <t>ROUNDUP - Rounds a number up, away from zero</t>
  </si>
  <si>
    <t>Manager</t>
  </si>
  <si>
    <t>Billy</t>
  </si>
  <si>
    <t>Carlton's Rental Properties</t>
  </si>
  <si>
    <t>Revenue</t>
  </si>
  <si>
    <t>Expenses</t>
  </si>
  <si>
    <t>Profit</t>
  </si>
  <si>
    <t>Vacancy Rate</t>
  </si>
  <si>
    <t>Police Visits</t>
  </si>
  <si>
    <t>Texas</t>
  </si>
  <si>
    <t>Dallas</t>
  </si>
  <si>
    <t>Apartment</t>
  </si>
  <si>
    <t>Triplex</t>
  </si>
  <si>
    <t>Fort Worth</t>
  </si>
  <si>
    <t>Houston</t>
  </si>
  <si>
    <t>Ginger</t>
  </si>
  <si>
    <t>Georgia</t>
  </si>
  <si>
    <t>Atlanta</t>
  </si>
  <si>
    <t>Florida</t>
  </si>
  <si>
    <t>Daytona</t>
  </si>
  <si>
    <t>Macon</t>
  </si>
  <si>
    <t>Savannah</t>
  </si>
  <si>
    <t>Tampa</t>
  </si>
  <si>
    <t>Jacob</t>
  </si>
  <si>
    <t>Townhome</t>
  </si>
  <si>
    <t>Duplex</t>
  </si>
  <si>
    <t>Kathy</t>
  </si>
  <si>
    <t>Steve</t>
  </si>
  <si>
    <t>MAX - Returns the maximum value in a list of arguments</t>
  </si>
  <si>
    <t xml:space="preserve">Maximum Values = </t>
  </si>
  <si>
    <t>Bill</t>
  </si>
  <si>
    <t xml:space="preserve">Minimum Values = </t>
  </si>
  <si>
    <t>Median Values</t>
  </si>
  <si>
    <t>MIN - Returns the minimum value in a list of arguments</t>
  </si>
  <si>
    <t>MODE - Returns the most common value in a data set</t>
  </si>
  <si>
    <t>Mode Values</t>
  </si>
  <si>
    <r>
      <t xml:space="preserve">MEDIAN - Returns the median of the given numbers </t>
    </r>
    <r>
      <rPr>
        <b/>
        <sz val="14"/>
        <rFont val="Calibri"/>
        <family val="2"/>
      </rPr>
      <t>(Seperates higher half from lower half)</t>
    </r>
  </si>
  <si>
    <t>PERCENTILE - Returns the k-th percentile of values in a range</t>
  </si>
  <si>
    <t>10th Percentile</t>
  </si>
  <si>
    <t>20th Percentile</t>
  </si>
  <si>
    <t>30th Percentile</t>
  </si>
  <si>
    <t>40th Percentile</t>
  </si>
  <si>
    <t>50th Percentile</t>
  </si>
  <si>
    <t>60th Percentile</t>
  </si>
  <si>
    <t>70th Percentile</t>
  </si>
  <si>
    <t>80th Percentile</t>
  </si>
  <si>
    <t>90th Percentile</t>
  </si>
  <si>
    <t>100th Percentile</t>
  </si>
  <si>
    <t>10% made higher than this grade</t>
  </si>
  <si>
    <t>20% made higher than this grade</t>
  </si>
  <si>
    <t>30% made higher than this grade</t>
  </si>
  <si>
    <t>40% made higher than this grade</t>
  </si>
  <si>
    <t>50% made higher than this grade</t>
  </si>
  <si>
    <t>60% made higher than this grade</t>
  </si>
  <si>
    <t>70% made higher than this grade</t>
  </si>
  <si>
    <t>80% made higher than this grade</t>
  </si>
  <si>
    <t>90% made higher than this grade</t>
  </si>
  <si>
    <t>Bart</t>
  </si>
  <si>
    <t>Gary</t>
  </si>
  <si>
    <t>Roy</t>
  </si>
  <si>
    <t>Miriam</t>
  </si>
  <si>
    <t>Tammy</t>
  </si>
  <si>
    <t>Martha</t>
  </si>
  <si>
    <t>Shelby</t>
  </si>
  <si>
    <t>Charlene</t>
  </si>
  <si>
    <t>Whit</t>
  </si>
  <si>
    <t>% Rank</t>
  </si>
  <si>
    <t>PMT - Returns the periodic payment for an annuity</t>
  </si>
  <si>
    <t>Number of Periods</t>
  </si>
  <si>
    <t>Payment Amount</t>
  </si>
  <si>
    <t>Years</t>
  </si>
  <si>
    <t>Per Year</t>
  </si>
  <si>
    <t>Beg Bal</t>
  </si>
  <si>
    <t>Payment</t>
  </si>
  <si>
    <t>Interest</t>
  </si>
  <si>
    <t>Principle</t>
  </si>
  <si>
    <t>End Bal</t>
  </si>
  <si>
    <t>Payments</t>
  </si>
  <si>
    <t>NPV Amount</t>
  </si>
  <si>
    <r>
      <t xml:space="preserve">DSUM - </t>
    </r>
    <r>
      <rPr>
        <b/>
        <sz val="14"/>
        <rFont val="Arial"/>
        <family val="2"/>
      </rPr>
      <t>Adds the numbers in the field column of records in the database that match the criteria</t>
    </r>
  </si>
  <si>
    <t>DCOUNT - Counts the cells that contain numbers in a database</t>
  </si>
  <si>
    <t>&gt;1000000</t>
  </si>
  <si>
    <t>Count</t>
  </si>
  <si>
    <t>&gt;100000</t>
  </si>
  <si>
    <t>DCOUNTA - Counts nonblank cells in a database</t>
  </si>
  <si>
    <t>AND - Returns TRUE if all of its arguments are TRUE</t>
  </si>
  <si>
    <t>OR - Returns TRUE if any argument is TRUE</t>
  </si>
  <si>
    <t>CHOOSE - Chooses a value from a list of values</t>
  </si>
  <si>
    <t>Weekday Number</t>
  </si>
  <si>
    <t>Weekday Name</t>
  </si>
  <si>
    <t>TIME - Returns the serial number of a particular time</t>
  </si>
  <si>
    <t>Hours</t>
  </si>
  <si>
    <t>Minutes</t>
  </si>
  <si>
    <t>Seconds</t>
  </si>
  <si>
    <t>Race Participant</t>
  </si>
  <si>
    <t>Mary Karen</t>
  </si>
  <si>
    <t>Judy</t>
  </si>
  <si>
    <t>Francis</t>
  </si>
  <si>
    <t>Tommy</t>
  </si>
  <si>
    <t>Official Start Time</t>
  </si>
  <si>
    <t>Finish Time</t>
  </si>
  <si>
    <t>Beth</t>
  </si>
  <si>
    <t>Ruth</t>
  </si>
  <si>
    <t>Mike</t>
  </si>
  <si>
    <t>Janice</t>
  </si>
  <si>
    <t>Phillip</t>
  </si>
  <si>
    <t>Pepe</t>
  </si>
  <si>
    <t>Keith</t>
  </si>
  <si>
    <t>Manny</t>
  </si>
  <si>
    <t>Florence</t>
  </si>
  <si>
    <t>Sally</t>
  </si>
  <si>
    <t>Heat 1</t>
  </si>
  <si>
    <t>Heat 2</t>
  </si>
  <si>
    <t>Heat 3</t>
  </si>
  <si>
    <t>FV - Returns the future value of an investment</t>
  </si>
  <si>
    <t>Future Value of Payment Stream</t>
  </si>
  <si>
    <t>Number of periods</t>
  </si>
  <si>
    <t>IRR - Returns the internal rate of return for a series of cash flows</t>
  </si>
  <si>
    <t>Initial cost of a business</t>
  </si>
  <si>
    <t>Net income for the first year</t>
  </si>
  <si>
    <t>Net income for the second year</t>
  </si>
  <si>
    <t>Net income for the third year</t>
  </si>
  <si>
    <t>Net income for the fourth year</t>
  </si>
  <si>
    <t>Net income for the fifth year</t>
  </si>
  <si>
    <t>To calculate the internal rate of return after two years, you need to include a guess</t>
  </si>
  <si>
    <t>Net income for the sixth year</t>
  </si>
  <si>
    <t>IRR %</t>
  </si>
  <si>
    <t>Investment
/Return</t>
  </si>
  <si>
    <t>n/a</t>
  </si>
  <si>
    <t>Comment:</t>
  </si>
  <si>
    <t>Settlement date</t>
  </si>
  <si>
    <t>Maturity date</t>
  </si>
  <si>
    <t>Percent coupon</t>
  </si>
  <si>
    <t>Redemption value</t>
  </si>
  <si>
    <t>If there is more than one coupon period until redemption, YIELD is calculated through a hundred iterations. The resolution uses the Newton method, based on the formula used for the function PRICE. The yield is changed until the estimated price given the yield is close to price.</t>
  </si>
  <si>
    <t xml:space="preserve">Frequency is semiannual </t>
  </si>
  <si>
    <t>30/360 basis</t>
  </si>
  <si>
    <t>Hello</t>
  </si>
  <si>
    <t>"address"</t>
  </si>
  <si>
    <t>"col"</t>
  </si>
  <si>
    <t>"contents"</t>
  </si>
  <si>
    <t>"filename"</t>
  </si>
  <si>
    <t>"format"</t>
  </si>
  <si>
    <t>"parentheses"</t>
  </si>
  <si>
    <t>"prefix"</t>
  </si>
  <si>
    <t>"protect"</t>
  </si>
  <si>
    <t>"row"</t>
  </si>
  <si>
    <t>"type"</t>
  </si>
  <si>
    <t>"width"</t>
  </si>
  <si>
    <t>CELL - Returns information about the formatting, location, or contents of a cell</t>
  </si>
  <si>
    <t>ERROR.TYPE - Returns a number corresponding to an error type</t>
  </si>
  <si>
    <t>Salvage</t>
  </si>
  <si>
    <t>Life</t>
  </si>
  <si>
    <t>Depreciation per year =</t>
  </si>
  <si>
    <t>Period</t>
  </si>
  <si>
    <t>If error_val is</t>
  </si>
  <si>
    <t>ERROR.TYPE returns</t>
  </si>
  <si>
    <t>Anything else</t>
  </si>
  <si>
    <t>"directory"</t>
  </si>
  <si>
    <t>Path of the current directory or folder.</t>
  </si>
  <si>
    <t>"numfile"</t>
  </si>
  <si>
    <t>Number of active worksheets in the open workbooks.</t>
  </si>
  <si>
    <t>"origin"</t>
  </si>
  <si>
    <t>Returns the absolute cell reference of the top and leftmost cell visible in the window, based on the current scrolling position, as text prepended with "$A:". This value is intended for for Lotus 1-2-3 release 3.x compatibility. The actual value returned depends on the current reference style setting. Using D9 as an example, the return value would be:</t>
  </si>
  <si>
    <t>"osversion"</t>
  </si>
  <si>
    <t>Current operating system version, as text.</t>
  </si>
  <si>
    <t>"recalc"</t>
  </si>
  <si>
    <t>Current recalculation mode; returns "Automatic" or "Manual".</t>
  </si>
  <si>
    <t>"release"</t>
  </si>
  <si>
    <t>Version of Microsoft Excel, as text.</t>
  </si>
  <si>
    <t>"system"</t>
  </si>
  <si>
    <t>Name of the operating environment: (PC DOS or MAC)</t>
  </si>
  <si>
    <t>INFO - Returns information about the current operating environment</t>
  </si>
  <si>
    <t>ISBLANK - Returns TRUE if the value is blank</t>
  </si>
  <si>
    <t>GETPIVOTDATA - Returns data stored in a PivotTable</t>
  </si>
  <si>
    <t>Staff</t>
  </si>
  <si>
    <t>Month</t>
  </si>
  <si>
    <t>Work</t>
  </si>
  <si>
    <t>Partner</t>
  </si>
  <si>
    <t>Client</t>
  </si>
  <si>
    <t>Billings</t>
  </si>
  <si>
    <t>Under/Over</t>
  </si>
  <si>
    <t>Abby</t>
  </si>
  <si>
    <t>January</t>
  </si>
  <si>
    <t>Coleman</t>
  </si>
  <si>
    <t>Lisa Sullivan</t>
  </si>
  <si>
    <t>Individual</t>
  </si>
  <si>
    <t>March</t>
  </si>
  <si>
    <t>Sam's Services</t>
  </si>
  <si>
    <t>Corporate</t>
  </si>
  <si>
    <t>Brenda</t>
  </si>
  <si>
    <t>April</t>
  </si>
  <si>
    <t>Financial Planning</t>
  </si>
  <si>
    <t>Smith</t>
  </si>
  <si>
    <t>Betty Harrington</t>
  </si>
  <si>
    <t>Jennifer</t>
  </si>
  <si>
    <t>Tony Davis</t>
  </si>
  <si>
    <t>Jesseca</t>
  </si>
  <si>
    <t>Course Concrete</t>
  </si>
  <si>
    <t>Mindy Simmon</t>
  </si>
  <si>
    <t>Molly Francis</t>
  </si>
  <si>
    <t>Robert Kennedy</t>
  </si>
  <si>
    <t>Tommy Pruitt</t>
  </si>
  <si>
    <t>Camera Shot</t>
  </si>
  <si>
    <t>Kathleen</t>
  </si>
  <si>
    <t>February</t>
  </si>
  <si>
    <t>Fidiciary</t>
  </si>
  <si>
    <t>Martin</t>
  </si>
  <si>
    <t>Boris Tellman</t>
  </si>
  <si>
    <t>Charlie Sullivan</t>
  </si>
  <si>
    <t>Door to Door, Inc.</t>
  </si>
  <si>
    <t>Doug Thomas</t>
  </si>
  <si>
    <t>Granite Right</t>
  </si>
  <si>
    <t>Joey Rayhoney</t>
  </si>
  <si>
    <t>Mars, Inc.</t>
  </si>
  <si>
    <t>Plasma Medical</t>
  </si>
  <si>
    <t>nancy</t>
  </si>
  <si>
    <t>Phil</t>
  </si>
  <si>
    <t>Property Taxes</t>
  </si>
  <si>
    <t>Clothes Barn</t>
  </si>
  <si>
    <t>Johnson</t>
  </si>
  <si>
    <t>Pam Duncan</t>
  </si>
  <si>
    <t>Peter Hanson</t>
  </si>
  <si>
    <t>Simpson</t>
  </si>
  <si>
    <t>Catcher's Creamery</t>
  </si>
  <si>
    <t>Fancy Daze</t>
  </si>
  <si>
    <t>Beverly Crusher</t>
  </si>
  <si>
    <t>Books O'Toole</t>
  </si>
  <si>
    <t>Cascade, Inc.</t>
  </si>
  <si>
    <t>David Pollack</t>
  </si>
  <si>
    <t>Superior Pans</t>
  </si>
  <si>
    <t>Kevin</t>
  </si>
  <si>
    <t>Bessy Boats</t>
  </si>
  <si>
    <t>Debbie Mavormat</t>
  </si>
  <si>
    <t>Harold Mason, Inc.</t>
  </si>
  <si>
    <t>Janet Miller</t>
  </si>
  <si>
    <t>Biss Foods</t>
  </si>
  <si>
    <t>Lars Tate</t>
  </si>
  <si>
    <t>The News Place</t>
  </si>
  <si>
    <t>Tulip Bowls, Ltd</t>
  </si>
  <si>
    <t>Mike Thomas</t>
  </si>
  <si>
    <t>Granola Bob</t>
  </si>
  <si>
    <t>Gay Gray</t>
  </si>
  <si>
    <t>Hayes Automotive</t>
  </si>
  <si>
    <t>Kim's Couches</t>
  </si>
  <si>
    <t>Terry Parker</t>
  </si>
  <si>
    <t>Nancy Young</t>
  </si>
  <si>
    <t>Scott Slade</t>
  </si>
  <si>
    <t>Cindy Schrieber</t>
  </si>
  <si>
    <t>Corneilia Ham</t>
  </si>
  <si>
    <t>David Greene</t>
  </si>
  <si>
    <t>Hanson Fish Sales</t>
  </si>
  <si>
    <t>Willie McClendon</t>
  </si>
  <si>
    <t>Kathy Hankins</t>
  </si>
  <si>
    <t>Sum of Billings</t>
  </si>
  <si>
    <t>Row Labels</t>
  </si>
  <si>
    <t>Column Labels</t>
  </si>
  <si>
    <t>Jessica</t>
  </si>
  <si>
    <t>Jessica's Billings as of March</t>
  </si>
  <si>
    <t>Martin's Billings as of April</t>
  </si>
  <si>
    <r>
      <t xml:space="preserve">66. HYPERLINK - </t>
    </r>
    <r>
      <rPr>
        <b/>
        <sz val="12"/>
        <color theme="1"/>
        <rFont val="Calibri"/>
        <family val="2"/>
        <scheme val="minor"/>
      </rPr>
      <t>Creates a shortcut or jump that opens a document stored on a network server, an intranet, or the Internet</t>
    </r>
  </si>
  <si>
    <t>http://www.cdw.com</t>
  </si>
  <si>
    <t>Press F2 to Edit</t>
  </si>
  <si>
    <t>CTRL+SHIFT+ENTER</t>
  </si>
  <si>
    <t>Highlight Yellow Range</t>
  </si>
  <si>
    <t>TRANSPOSE - Returns the transpose of an array</t>
  </si>
  <si>
    <t>ABS - Returns the absolute value of a number</t>
  </si>
  <si>
    <t>Difference</t>
  </si>
  <si>
    <t>% Difference</t>
  </si>
  <si>
    <t>Taxes</t>
  </si>
  <si>
    <t>Total Taxes</t>
  </si>
  <si>
    <t>RAND - Returns a random number between 0 and 1</t>
  </si>
  <si>
    <t>RANDBETWEEN - Returns a random number between the numbers you specify</t>
  </si>
  <si>
    <t>Starting Invoice Number</t>
  </si>
  <si>
    <t>Ending Invoice Number</t>
  </si>
  <si>
    <t>Polpulation Size</t>
  </si>
  <si>
    <t>Sample Size</t>
  </si>
  <si>
    <t>Recommended sample sizes for two different precision levels</t>
  </si>
  <si>
    <t xml:space="preserve">Source: Isaac and Michael, 1981; Smith, MF, 1983 </t>
  </si>
  <si>
    <t>Population size</t>
  </si>
  <si>
    <t>http://www.uwex.edu/ces/tobaccoeval/resources/surveychart.html</t>
  </si>
  <si>
    <t>REPT - Repeats text a given number of times</t>
  </si>
  <si>
    <t>J. Carlton Collins, CPA - Copyright, January 2007, carlton@asaresearch.com</t>
  </si>
  <si>
    <t>Excel 2003</t>
  </si>
  <si>
    <t>Excel 2007</t>
  </si>
  <si>
    <t>Excel 2010</t>
  </si>
  <si>
    <t>Excel 2013</t>
  </si>
  <si>
    <t>New Functions Added to Excel</t>
  </si>
  <si>
    <t>BINOMDIST</t>
  </si>
  <si>
    <t>CHIINV</t>
  </si>
  <si>
    <t>CONFIDENCE</t>
  </si>
  <si>
    <t>CRITBINOM</t>
  </si>
  <si>
    <t>DSTDEV</t>
  </si>
  <si>
    <t>DSTDEVP</t>
  </si>
  <si>
    <t>DVAR</t>
  </si>
  <si>
    <t>DVARP</t>
  </si>
  <si>
    <t>FINV</t>
  </si>
  <si>
    <t>FORECAST</t>
  </si>
  <si>
    <t>GAMMAINV</t>
  </si>
  <si>
    <t>GROWTH</t>
  </si>
  <si>
    <t>HYPGEOMDIST</t>
  </si>
  <si>
    <t>INTERCEPT</t>
  </si>
  <si>
    <t>LINEST</t>
  </si>
  <si>
    <t>LOGEST</t>
  </si>
  <si>
    <t>LOGINV</t>
  </si>
  <si>
    <t>LOGNORMDIST</t>
  </si>
  <si>
    <t>NEGBINOMDIST</t>
  </si>
  <si>
    <t>NORMDIST</t>
  </si>
  <si>
    <t>NORMINV</t>
  </si>
  <si>
    <t>NORMSDIST</t>
  </si>
  <si>
    <t>NORMSINV</t>
  </si>
  <si>
    <t>PEARSON</t>
  </si>
  <si>
    <t>POISSON</t>
  </si>
  <si>
    <t>RSQ</t>
  </si>
  <si>
    <t>SLOPE</t>
  </si>
  <si>
    <t>STDEV</t>
  </si>
  <si>
    <t>STDEVA</t>
  </si>
  <si>
    <t>STDEVP</t>
  </si>
  <si>
    <t>STDEVPA</t>
  </si>
  <si>
    <t>STEYX</t>
  </si>
  <si>
    <t>TINV</t>
  </si>
  <si>
    <t>TREND</t>
  </si>
  <si>
    <t>VAR</t>
  </si>
  <si>
    <t>VARA</t>
  </si>
  <si>
    <t>VARP</t>
  </si>
  <si>
    <t>VARPA</t>
  </si>
  <si>
    <t>ZTEST</t>
  </si>
  <si>
    <t>Excel 2002</t>
  </si>
  <si>
    <t>Excel 5.0 (1993)</t>
  </si>
  <si>
    <t>First Functions Appear</t>
  </si>
  <si>
    <t>Excel 5.0 thru 2001</t>
  </si>
  <si>
    <t>Returns the individual term binomial distribution probability</t>
  </si>
  <si>
    <t>Returns the one-tailed probability of the chi-squared distribution</t>
  </si>
  <si>
    <t>Returns the inverse of the one-tailed probability of the chi-squared distribution</t>
  </si>
  <si>
    <t>Returns the test for independence</t>
  </si>
  <si>
    <t>Returns the confidence interval for a population mean</t>
  </si>
  <si>
    <t>Returns covariance, the average of the products of paired deviations</t>
  </si>
  <si>
    <t>Returns the smallest value for which the cumulative binomial distribution is less than or equal to a criterion value</t>
  </si>
  <si>
    <t>Returns the exponential distribution</t>
  </si>
  <si>
    <t>Returns the F probability distribution</t>
  </si>
  <si>
    <t>Returns the inverse of the F probability distribution</t>
  </si>
  <si>
    <t>Returns the result of an F-test</t>
  </si>
  <si>
    <t>Returns the gamma distribution</t>
  </si>
  <si>
    <t>Returns the inverse of the gamma cumulative distribution</t>
  </si>
  <si>
    <t>Returns the hypergeometric distribution</t>
  </si>
  <si>
    <t>Returns the cumulative lognormal distribution</t>
  </si>
  <si>
    <t>Returns the most common value in a data set</t>
  </si>
  <si>
    <t>Returns the negative binomial distribution</t>
  </si>
  <si>
    <t>Returns the normal cumulative distribution</t>
  </si>
  <si>
    <t>Returns the inverse of the normal cumulative distribution</t>
  </si>
  <si>
    <t>Returns the standard normal cumulative distribution</t>
  </si>
  <si>
    <t>Returns the inverse of the standard normal cumulative distribution</t>
  </si>
  <si>
    <t>Returns the k-th percentile of values in a range</t>
  </si>
  <si>
    <t>Returns the percentage rank of a value in a data set</t>
  </si>
  <si>
    <t>Returns the Poisson distribution</t>
  </si>
  <si>
    <t>Returns the quartile of a data set</t>
  </si>
  <si>
    <t>Estimates standard deviation based on a sample</t>
  </si>
  <si>
    <t>Calculates standard deviation based on the entire population</t>
  </si>
  <si>
    <t>Returns the Student's t-distribution</t>
  </si>
  <si>
    <t>Returns the inverse of the Student's t-distribution</t>
  </si>
  <si>
    <t>Returns the probability associated with a Student's t-test</t>
  </si>
  <si>
    <t>Estimates variance based on a sample</t>
  </si>
  <si>
    <t>Calculates variance based on the entire population</t>
  </si>
  <si>
    <t>Returns the Weibull distribution</t>
  </si>
  <si>
    <t>Returns the one-tailed probability-value of a z-test</t>
  </si>
  <si>
    <t>Returns a key performance indicator (KPI) property and displays the KPI name in the cell. A KPI is a quantifiable measurement, such as monthly gross profit or quarterly employee turnover, that is used to monitor an organization's performance.</t>
  </si>
  <si>
    <t>Returns a member or tuple from the cube. Use to validate that the member or tuple exists in the cube.</t>
  </si>
  <si>
    <t>Returns the value of a member property from the cube. Use to validate that a member name exists within the cube and to return the specified property for this member.</t>
  </si>
  <si>
    <t>Returns the nth, or ranked, member in a set. Use to return one or more elements in a set, such as the top sales performer or the top 10 students.</t>
  </si>
  <si>
    <t>Defines a calculated set of members or tuples by sending a set expression to the cube on the server, which creates the set, and then returns that set to Microsoft Office Excel.</t>
  </si>
  <si>
    <t>Returns the number of items in a set.</t>
  </si>
  <si>
    <t>Returns an aggregated value from the cube.</t>
  </si>
  <si>
    <t>Estimates the standard deviation based on a sample of selected database entries</t>
  </si>
  <si>
    <t>Calculates the standard deviation based on the entire population of selected database entries</t>
  </si>
  <si>
    <t>Estimates variance based on a sample from selected database entries</t>
  </si>
  <si>
    <t>Calculates variance based on the entire population of selected database entries</t>
  </si>
  <si>
    <t>DAYS function</t>
  </si>
  <si>
    <t>Returns the number of days between two dates</t>
  </si>
  <si>
    <t>Converts a serial number to an hour</t>
  </si>
  <si>
    <t>ISOWEEKNUM function</t>
  </si>
  <si>
    <t>Returns the number of the ISO week number of the year for a given date</t>
  </si>
  <si>
    <t>Converts a serial number to a minute</t>
  </si>
  <si>
    <t>Returns the number of whole workdays between two dates</t>
  </si>
  <si>
    <t>Returns the number of whole workdays between two dates using parameters to indicate which and how many days are weekend days</t>
  </si>
  <si>
    <t>Converts a serial number to a second</t>
  </si>
  <si>
    <t>Returns the serial number of a particular time</t>
  </si>
  <si>
    <t>Converts a time in the form of text to a serial number</t>
  </si>
  <si>
    <t>Returns the serial number of the date before or after a specified number of workdays using parameters to indicate which and how many days are weekend days</t>
  </si>
  <si>
    <t>Returns the year fraction representing the number of whole days between start_date and end_date</t>
  </si>
  <si>
    <t>Converts a binary number to decimal</t>
  </si>
  <si>
    <t>Converts a binary number to hexadecimal</t>
  </si>
  <si>
    <t>Converts a binary number to octal</t>
  </si>
  <si>
    <t>BITAND function</t>
  </si>
  <si>
    <t>Returns a 'Bitwise And' of two numbers</t>
  </si>
  <si>
    <t>BITLSHIFT function</t>
  </si>
  <si>
    <t>Returns a value number shifted left by shift_amount bits</t>
  </si>
  <si>
    <t>BITOR function</t>
  </si>
  <si>
    <t>Returns a bitwise OR of 2 numbers</t>
  </si>
  <si>
    <t>BITRSHIFT function</t>
  </si>
  <si>
    <t>Returns a value number shifted right by shift_amount bits</t>
  </si>
  <si>
    <t>BITXOR function</t>
  </si>
  <si>
    <t>Returns a bitwise 'Exclusive Or' of two numbers</t>
  </si>
  <si>
    <t>Converts real and imaginary coefficients into a complex number</t>
  </si>
  <si>
    <t>Converts a number from one measurement system to another</t>
  </si>
  <si>
    <t>Converts a decimal number to binary</t>
  </si>
  <si>
    <t>Converts a decimal number to hexadecimal</t>
  </si>
  <si>
    <t>Converts a decimal number to octal</t>
  </si>
  <si>
    <t>Tests whether two values are equal</t>
  </si>
  <si>
    <t>Tests whether a number is greater than a threshold value</t>
  </si>
  <si>
    <t>Converts a hexadecimal number to binary</t>
  </si>
  <si>
    <t>Converts a hexadecimal number to decimal</t>
  </si>
  <si>
    <t>Converts a hexadecimal number to octal</t>
  </si>
  <si>
    <t>Returns the absolute value (modulus) of a complex number</t>
  </si>
  <si>
    <t>Returns the imaginary coefficient of a complex number</t>
  </si>
  <si>
    <t>Returns the argument theta, an angle expressed in radians</t>
  </si>
  <si>
    <t>Returns the complex conjugate of a complex number</t>
  </si>
  <si>
    <t>Returns the cosine of a complex number</t>
  </si>
  <si>
    <t>IMCOSH function</t>
  </si>
  <si>
    <t>Returns the hyperbolic cosine of a complex number</t>
  </si>
  <si>
    <t>IMCOT function</t>
  </si>
  <si>
    <t>Returns the cotangent of a complex number</t>
  </si>
  <si>
    <t>IMCSC function</t>
  </si>
  <si>
    <t>Returns the cosecant of a complex number</t>
  </si>
  <si>
    <t>IMCSCH function</t>
  </si>
  <si>
    <t>Returns the hyperbolic cosecant of a complex number</t>
  </si>
  <si>
    <t>Returns the quotient of two complex numbers</t>
  </si>
  <si>
    <t>Returns the exponential of a complex number</t>
  </si>
  <si>
    <t>Returns the natural logarithm of a complex number</t>
  </si>
  <si>
    <t>Returns the base-10 logarithm of a complex number</t>
  </si>
  <si>
    <t>Returns the base-2 logarithm of a complex number</t>
  </si>
  <si>
    <t>Returns a complex number raised to an integer power</t>
  </si>
  <si>
    <t>Returns the product of from 2 to 255 complex numbers</t>
  </si>
  <si>
    <t>Returns the real coefficient of a complex number</t>
  </si>
  <si>
    <t>IMSEC function</t>
  </si>
  <si>
    <t>Returns the secant of a complex number</t>
  </si>
  <si>
    <t>IMSECH function</t>
  </si>
  <si>
    <t>Returns the hyperbolic secant of a complex number</t>
  </si>
  <si>
    <t>Returns the sine of a complex number</t>
  </si>
  <si>
    <t>IMSINH function</t>
  </si>
  <si>
    <t>Returns the hyperbolic sine of a complex number</t>
  </si>
  <si>
    <t>Returns the square root of a complex number</t>
  </si>
  <si>
    <t>Returns the difference between two complex numbers</t>
  </si>
  <si>
    <t>Returns the sum of complex numbers</t>
  </si>
  <si>
    <t>IMTAN function</t>
  </si>
  <si>
    <t>Returns the tangent of a complex number</t>
  </si>
  <si>
    <t>Converts an octal number to binary</t>
  </si>
  <si>
    <t>Converts an octal number to decimal</t>
  </si>
  <si>
    <t>Converts an octal number to hexadecimal</t>
  </si>
  <si>
    <t>Returns the accrued interest for a security that pays periodic interest</t>
  </si>
  <si>
    <t>Returns the accrued interest for a security that pays interest at maturity</t>
  </si>
  <si>
    <t>Returns the depreciation for each accounting period by using a depreciation coefficient</t>
  </si>
  <si>
    <t>Returns the depreciation for each accounting period</t>
  </si>
  <si>
    <t>Returns the number of days from the beginning of the coupon period to the settlement date</t>
  </si>
  <si>
    <t>Returns the number of days in the coupon period that contains the settlement date</t>
  </si>
  <si>
    <t>Returns the number of days from the settlement date to the next coupon date</t>
  </si>
  <si>
    <t>Returns the next coupon date after the settlement date</t>
  </si>
  <si>
    <t>Returns the number of coupons payable between the settlement date and maturity date</t>
  </si>
  <si>
    <t>Returns the previous coupon date before the settlement date</t>
  </si>
  <si>
    <t>Returns the cumulative interest paid between two periods</t>
  </si>
  <si>
    <t>Returns the cumulative principal paid on a loan between two periods</t>
  </si>
  <si>
    <t>Returns the depreciation of an asset for a specified period by using the fixed-declining balance method</t>
  </si>
  <si>
    <t>Converts a dollar price, expressed as a fraction, into a dollar price, expressed as a decimal number</t>
  </si>
  <si>
    <t>Converts a dollar price, expressed as a decimal number, into a dollar price, expressed as a fraction</t>
  </si>
  <si>
    <t>Returns the annual duration of a security with periodic interest payments</t>
  </si>
  <si>
    <t>Returns the effective annual interest rate</t>
  </si>
  <si>
    <t>Returns the future value of an initial principal after applying a series of compound interest rates</t>
  </si>
  <si>
    <t>Returns the interest rate for a fully invested security</t>
  </si>
  <si>
    <t>Returns the interest payment for an investment for a given period</t>
  </si>
  <si>
    <t>Returns the internal rate of return for a series of cash flows</t>
  </si>
  <si>
    <t>Calculates the interest paid during a specific period of an investment</t>
  </si>
  <si>
    <t>Returns the Macauley modified duration for a security with an assumed par value of $100</t>
  </si>
  <si>
    <t>Returns the internal rate of return where positive and negative cash flows are financed at different rates</t>
  </si>
  <si>
    <t>Returns the annual nominal interest rate</t>
  </si>
  <si>
    <t>Returns the number of periods for an investment</t>
  </si>
  <si>
    <t>Returns the net present value of an investment based on a series of periodic cash flows and a discount rate</t>
  </si>
  <si>
    <t>Returns the price per $100 face value of a security with an odd first period</t>
  </si>
  <si>
    <t>Returns the yield of a security with an odd first period</t>
  </si>
  <si>
    <t>Returns the price per $100 face value of a security with an odd last period</t>
  </si>
  <si>
    <t>Returns the yield of a security with an odd last period</t>
  </si>
  <si>
    <t>PDURATION function</t>
  </si>
  <si>
    <t>Returns the number of periods required by an investment to reach a specified value</t>
  </si>
  <si>
    <t>Returns the payment on the principal for an investment for a given period</t>
  </si>
  <si>
    <t>Returns the price per $100 face value of a security that pays periodic interest</t>
  </si>
  <si>
    <t>Returns the price per $100 face value of a discounted security</t>
  </si>
  <si>
    <t>Returns the price per $100 face value of a security that pays interest at maturity</t>
  </si>
  <si>
    <t>Returns the interest rate per period of an annuity</t>
  </si>
  <si>
    <t>Returns the amount received at maturity for a fully invested security</t>
  </si>
  <si>
    <t>RRI function</t>
  </si>
  <si>
    <t>Returns an equivalent interest rate for the growth of an investment</t>
  </si>
  <si>
    <t>Returns the bond-equivalent yield for a Treasury bill</t>
  </si>
  <si>
    <t>Returns the price per $100 face value for a Treasury bill</t>
  </si>
  <si>
    <t>Returns the yield for a Treasury bill</t>
  </si>
  <si>
    <t>Returns the depreciation of an asset for a specified or partial period by using a declining balance method</t>
  </si>
  <si>
    <t>Returns the internal rate of return for a schedule of cash flows that is not necessarily periodic</t>
  </si>
  <si>
    <t>Returns the net present value for a schedule of cash flows that is not necessarily periodic</t>
  </si>
  <si>
    <t>Returns the yield on a security that pays periodic interest</t>
  </si>
  <si>
    <t>Returns the annual yield for a discounted security; for example, a Treasury bill</t>
  </si>
  <si>
    <t>Returns the annual yield of a security that pays interest at maturity</t>
  </si>
  <si>
    <t>Returns TRUE if the number is even</t>
  </si>
  <si>
    <t>ISFORMULA function</t>
  </si>
  <si>
    <t>Returns TRUE if there is a reference to a cell that contains a formula</t>
  </si>
  <si>
    <t>Returns TRUE if the value is a logical value</t>
  </si>
  <si>
    <t>Returns TRUE if the value is not text</t>
  </si>
  <si>
    <t>Returns TRUE if the number is odd</t>
  </si>
  <si>
    <t>Returns a value converted to a number</t>
  </si>
  <si>
    <t>Returns the error value #N/A</t>
  </si>
  <si>
    <t>SHEET function</t>
  </si>
  <si>
    <t>Returns the sheet number of the referenced sheet</t>
  </si>
  <si>
    <t>SHEETS function</t>
  </si>
  <si>
    <t>Returns the number of sheets in a reference</t>
  </si>
  <si>
    <t>Returns a number indicating the data type of a value</t>
  </si>
  <si>
    <t>Returns a value you specify if a formula evaluates to an error; otherwise, returns the result of the formula</t>
  </si>
  <si>
    <t>IFNA function</t>
  </si>
  <si>
    <t>Returns the value you specify if the expression resolves to #N/A, otherwise returns the result of the expression</t>
  </si>
  <si>
    <t>XOR function</t>
  </si>
  <si>
    <t>Returns a logical exclusive OR of all arguments</t>
  </si>
  <si>
    <t>Returns a reference as text to a single cell in a worksheet</t>
  </si>
  <si>
    <t>Returns the number of areas in a reference</t>
  </si>
  <si>
    <t>Returns the column number of a reference</t>
  </si>
  <si>
    <t>Returns the number of columns in a reference</t>
  </si>
  <si>
    <t>FORMULATEXT function</t>
  </si>
  <si>
    <t>Returns the formula at the given reference as text</t>
  </si>
  <si>
    <t>Returns data stored in a PivotTable report</t>
  </si>
  <si>
    <t>Returns a reference indicated by a text value</t>
  </si>
  <si>
    <t>Looks up values in a reference or array</t>
  </si>
  <si>
    <t>Returns a reference offset from a given reference</t>
  </si>
  <si>
    <t>Returns the row number of a reference</t>
  </si>
  <si>
    <t>Returns the number of rows in a reference</t>
  </si>
  <si>
    <t>Retrieves real-time data from a program that supports COM automation (Automation: A way to work with an application's objects from another application or development tool. Formerly called OLE Automation, Automation is an industry standard and a feature of the Component Object Model (COM).)</t>
  </si>
  <si>
    <t>Returns the absolute value of a number</t>
  </si>
  <si>
    <t>Returns the arccosine of a number</t>
  </si>
  <si>
    <t>Returns the inverse hyperbolic cosine of a number</t>
  </si>
  <si>
    <t>ACOT function</t>
  </si>
  <si>
    <t>Returns the arccotangent of a number</t>
  </si>
  <si>
    <t>ACOTH function</t>
  </si>
  <si>
    <t>Returns the hyperbolic arccotangent of a number</t>
  </si>
  <si>
    <t>Returns an aggregate in a list or database</t>
  </si>
  <si>
    <t>ARABIC function</t>
  </si>
  <si>
    <t>Converts a Roman number to Arabic, as a number</t>
  </si>
  <si>
    <t>Returns the arcsine of a number</t>
  </si>
  <si>
    <t>Returns the inverse hyperbolic sine of a number</t>
  </si>
  <si>
    <t>Returns the arctangent of a number</t>
  </si>
  <si>
    <t>Returns the arctangent from x- and y-coordinates</t>
  </si>
  <si>
    <t>Returns the inverse hyperbolic tangent of a number</t>
  </si>
  <si>
    <t>BASE function</t>
  </si>
  <si>
    <t>Converts a number into a text representation with the given radix (base)</t>
  </si>
  <si>
    <t>Rounds a number to the nearest integer or to the nearest multiple of significance</t>
  </si>
  <si>
    <t>CEILING.MATH function</t>
  </si>
  <si>
    <t>Rounds a number up, to the nearest integer or to the nearest multiple of significance</t>
  </si>
  <si>
    <t>Rounds a number the nearest integer or to the nearest multiple of significance. Regardless of the sign of the number, the number is rounded up.</t>
  </si>
  <si>
    <t>Returns the number of combinations for a given number of objects</t>
  </si>
  <si>
    <t>COMBINA function</t>
  </si>
  <si>
    <t>Returns the number of combinations with repetitions for a given number of items</t>
  </si>
  <si>
    <t>Returns the cosine of a number</t>
  </si>
  <si>
    <t>Returns the hyperbolic cosine of a number</t>
  </si>
  <si>
    <t>COT function</t>
  </si>
  <si>
    <t>Returns the cotangent of an angle</t>
  </si>
  <si>
    <t>COTH function</t>
  </si>
  <si>
    <t>Returns the hyperbolic cotangent of a number</t>
  </si>
  <si>
    <t>CSC function</t>
  </si>
  <si>
    <t>Returns the cosecant of an angle</t>
  </si>
  <si>
    <t>CSCH function</t>
  </si>
  <si>
    <t>Returns the hyperbolic cosecant of an angle</t>
  </si>
  <si>
    <t>DECIMAL function</t>
  </si>
  <si>
    <t>Converts a text representation of a number in a given base into a decimal number</t>
  </si>
  <si>
    <t>Converts radians to degrees</t>
  </si>
  <si>
    <t>Rounds a number up to the nearest even integer</t>
  </si>
  <si>
    <t>Returns the factorial of a number</t>
  </si>
  <si>
    <t>Returns the double factorial of a number</t>
  </si>
  <si>
    <t>FLOOR.MATH function</t>
  </si>
  <si>
    <t>Rounds a number down, to the nearest integer or to the nearest multiple of significance</t>
  </si>
  <si>
    <t>Rounds a number down to the nearest integer or to the nearest multiple of significance. Regardless of the sign of the number, the number is rounded down.</t>
  </si>
  <si>
    <t>Returns the greatest common divisor</t>
  </si>
  <si>
    <t>Rounds a number down to the nearest integer</t>
  </si>
  <si>
    <t>Returns a number that is rounded up to the nearest integer or to the nearest multiple of significance</t>
  </si>
  <si>
    <t>Returns the least common multiple</t>
  </si>
  <si>
    <t>Returns the natural logarithm of a number</t>
  </si>
  <si>
    <t>Returns the logarithm of a number to a specified base</t>
  </si>
  <si>
    <t>Returns the base-10 logarithm of a number</t>
  </si>
  <si>
    <t>Returns the matrix determinant of an array</t>
  </si>
  <si>
    <t>Returns the matrix inverse of an array</t>
  </si>
  <si>
    <t>Returns the matrix product of two arrays</t>
  </si>
  <si>
    <t>Returns the remainder from division</t>
  </si>
  <si>
    <t>Returns a number rounded to the desired multiple</t>
  </si>
  <si>
    <t>Returns the multinomial of a set of numbers</t>
  </si>
  <si>
    <t>MUNIT function</t>
  </si>
  <si>
    <t>Returns the unit matrix or the specified dimension</t>
  </si>
  <si>
    <t>Rounds a number up to the nearest odd integer</t>
  </si>
  <si>
    <t>Returns the value of pi</t>
  </si>
  <si>
    <t>Returns the result of a number raised to a power</t>
  </si>
  <si>
    <t>Multiplies its arguments</t>
  </si>
  <si>
    <t>Returns the integer portion of a division</t>
  </si>
  <si>
    <t>Converts degrees to radians</t>
  </si>
  <si>
    <t>Converts an Arabic numeral to Roman, as text</t>
  </si>
  <si>
    <t>SEC function</t>
  </si>
  <si>
    <t>Returns the secant of an angle</t>
  </si>
  <si>
    <t>SECH function</t>
  </si>
  <si>
    <t>Returns the hyperbolic secant of an angle</t>
  </si>
  <si>
    <t>Returns the sum of a power series based on the formula</t>
  </si>
  <si>
    <t>Returns the sine of the given angle</t>
  </si>
  <si>
    <t>Returns the hyperbolic sine of a number</t>
  </si>
  <si>
    <t>Returns a positive square root</t>
  </si>
  <si>
    <t>Returns the square root of (number * pi)</t>
  </si>
  <si>
    <t>Adds the cells in a range that meet multiple criteria</t>
  </si>
  <si>
    <t>Returns the sum of the products of corresponding array components</t>
  </si>
  <si>
    <t>Returns the sum of the squares of the arguments</t>
  </si>
  <si>
    <t>Returns the sum of the difference of squares of corresponding values in two arrays</t>
  </si>
  <si>
    <t>Returns the sum of the sum of squares of corresponding values in two arrays</t>
  </si>
  <si>
    <t>Returns the sum of squares of differences of corresponding values in two arrays</t>
  </si>
  <si>
    <t>Returns the tangent of a number</t>
  </si>
  <si>
    <t>Returns the hyperbolic tangent of a number</t>
  </si>
  <si>
    <t>Truncates a number to an integer</t>
  </si>
  <si>
    <t>Returns the average of the absolute deviations of data points from their mean</t>
  </si>
  <si>
    <t>Returns the average of its arguments, including numbers, text, and logical values</t>
  </si>
  <si>
    <t>Returns the average (arithmetic mean) of all the cells in a range that meet a given criteria</t>
  </si>
  <si>
    <t>Returns the average (arithmetic mean) of all cells that meet multiple criteria</t>
  </si>
  <si>
    <t>BINOM.DIST.RANGE function</t>
  </si>
  <si>
    <t>Returns the probability of a trial result using a binomial distribution</t>
  </si>
  <si>
    <t>Returns the confidence interval for a population mean, using a Student's t distribution</t>
  </si>
  <si>
    <t>Returns the correlation coefficient between two data sets</t>
  </si>
  <si>
    <t>Counts the number of cells within a range that meet the given criteria</t>
  </si>
  <si>
    <t>Counts the number of cells within a range that meet multiple criteria</t>
  </si>
  <si>
    <t>Returns the sample covariance, the average of the products deviations for each data point pair in two data sets</t>
  </si>
  <si>
    <t>Returns the sum of squares of deviations</t>
  </si>
  <si>
    <t>Returns the Fisher transformation</t>
  </si>
  <si>
    <t>Returns the inverse of the Fisher transformation</t>
  </si>
  <si>
    <t>Returns a value along a linear trend</t>
  </si>
  <si>
    <t>Returns a frequency distribution as a vertical array</t>
  </si>
  <si>
    <t>GAMMA function</t>
  </si>
  <si>
    <t>GAUSS function</t>
  </si>
  <si>
    <t>Returns 0.5 less than the standard normal cumulative distribution</t>
  </si>
  <si>
    <t>Returns the geometric mean</t>
  </si>
  <si>
    <t>Returns values along an exponential trend</t>
  </si>
  <si>
    <t>Returns the harmonic mean</t>
  </si>
  <si>
    <t>Returns the intercept of the linear regression line</t>
  </si>
  <si>
    <t>Returns the kurtosis of a data set</t>
  </si>
  <si>
    <t>Returns the k-th largest value in a data set</t>
  </si>
  <si>
    <t>Returns the parameters of a linear trend</t>
  </si>
  <si>
    <t>Returns the parameters of an exponential trend</t>
  </si>
  <si>
    <t>Returns the inverse of the lognormal cumulative distribution</t>
  </si>
  <si>
    <t>Returns the maximum value in a list of arguments, including numbers, text, and logical values</t>
  </si>
  <si>
    <t>Returns the median of the given numbers</t>
  </si>
  <si>
    <t>Returns the smallest value in a list of arguments, including numbers, text, and logical values</t>
  </si>
  <si>
    <t>Returns a vertical array of the most frequently occurring, or repetitive values in an array or range of data</t>
  </si>
  <si>
    <t>Returns the Pearson product moment correlation coefficient</t>
  </si>
  <si>
    <t>Returns the k-th percentile of values in a range, where k is in the range 0..1, exclusive</t>
  </si>
  <si>
    <t>Returns the rank of a value in a data set as a percentage (0..1, exclusive) of the data set</t>
  </si>
  <si>
    <t>Returns the number of permutations for a given number of objects</t>
  </si>
  <si>
    <t>PERMUTATIONA function</t>
  </si>
  <si>
    <t>Returns the number of permutations for a given number of objects (with repetitions) that can be selected from the total objects</t>
  </si>
  <si>
    <t>PHI function</t>
  </si>
  <si>
    <t>Returns the probability that values in a range are between two limits</t>
  </si>
  <si>
    <t>Returns the quartile of the data set, based on percentile values from 0..1, exclusive</t>
  </si>
  <si>
    <t>Returns the square of the Pearson product moment correlation coefficient</t>
  </si>
  <si>
    <t>Returns the skewness of a distribution</t>
  </si>
  <si>
    <t>SKEW.P function</t>
  </si>
  <si>
    <t>Returns the skewness of a distribution based on a population: a characterization of the degree of asymmetry of a distribution around its mean</t>
  </si>
  <si>
    <t>Returns the slope of the linear regression line</t>
  </si>
  <si>
    <t>Returns the k-th smallest value in a data set</t>
  </si>
  <si>
    <t>Returns a normalized value</t>
  </si>
  <si>
    <t>Estimates standard deviation based on a sample, including numbers, text, and logical values</t>
  </si>
  <si>
    <t>Calculates standard deviation based on the entire population, including numbers, text, and logical values</t>
  </si>
  <si>
    <t>Returns the standard error of the predicted y-value for each x in the regression</t>
  </si>
  <si>
    <t>Returns the Percentage Points (probability) for the Student t-distribution</t>
  </si>
  <si>
    <t>Returns values along a linear trend</t>
  </si>
  <si>
    <t>Returns the mean of the interior of a data set</t>
  </si>
  <si>
    <t>Estimates variance based on a sample, including numbers, text, and logical values</t>
  </si>
  <si>
    <t>Calculates variance based on the entire population, including numbers, text, and logical values</t>
  </si>
  <si>
    <t>Changes full-width (double-byte) English letters or katakana within a character string to half-width (single-byte) characters</t>
  </si>
  <si>
    <t>Converts a number to text, using the ß (baht) currency format</t>
  </si>
  <si>
    <t>Returns the character specified by the code number</t>
  </si>
  <si>
    <t>Returns a numeric code for the first character in a text string</t>
  </si>
  <si>
    <t>Changes half-width (single-byte) English letters or katakana within a character string to full-width (double-byte) characters</t>
  </si>
  <si>
    <t>Converts a number to text, using the $ (dollar) currency format</t>
  </si>
  <si>
    <t>Checks to see if two text values are identical</t>
  </si>
  <si>
    <t>Formats a number as text with a fixed number of decimals</t>
  </si>
  <si>
    <t>NUMBERVALUE function</t>
  </si>
  <si>
    <t>Converts text to number in a locale-independent manner</t>
  </si>
  <si>
    <t>Extracts the phonetic (furigana) characters from a text string</t>
  </si>
  <si>
    <t>Converts its arguments to text</t>
  </si>
  <si>
    <t>UNICHAR function</t>
  </si>
  <si>
    <t>Returns the Unicode character that is references by the given numeric value</t>
  </si>
  <si>
    <t>UNICODE function</t>
  </si>
  <si>
    <t>Returns the number (code point) that corresponds to the first character of the text</t>
  </si>
  <si>
    <t>Calls a procedure in a dynamic link library or code resource</t>
  </si>
  <si>
    <t>Converts a number to euros, converts a number from euros to a euro member currency, or converts a number from one euro member currency to another by using the euro as an intermediary (triangulation)</t>
  </si>
  <si>
    <t>Returns the register ID of the specified dynamic link library (DLL) or code resource that has been previously registered</t>
  </si>
  <si>
    <t>Connects with an external data source and runs a query from a worksheet, then returns the result as an array without the need for macro programming</t>
  </si>
  <si>
    <t>ENCODEURL function</t>
  </si>
  <si>
    <t>Returns a URL-encoded string</t>
  </si>
  <si>
    <t>FILTERXML function</t>
  </si>
  <si>
    <t>Returns specific data from the XML content by using the specified XPath</t>
  </si>
  <si>
    <t>WEBSERVICE function</t>
  </si>
  <si>
    <t>BETADIST</t>
  </si>
  <si>
    <t>Returns the beta cumulative distribution</t>
  </si>
  <si>
    <t>BETAINV</t>
  </si>
  <si>
    <t>Returns the inverse of the cumulative distribution for a specified beta distribution</t>
  </si>
  <si>
    <t>CHIDIST</t>
  </si>
  <si>
    <t>CHITEST</t>
  </si>
  <si>
    <t>COVAR</t>
  </si>
  <si>
    <t>EXPONDIST</t>
  </si>
  <si>
    <t>FDIST</t>
  </si>
  <si>
    <t>FTEST</t>
  </si>
  <si>
    <t>GAMMADIST</t>
  </si>
  <si>
    <t>MODE</t>
  </si>
  <si>
    <t>PERCENTILE</t>
  </si>
  <si>
    <t>PERCENTRANK</t>
  </si>
  <si>
    <t>QUARTILE</t>
  </si>
  <si>
    <t>TDIST</t>
  </si>
  <si>
    <t>TTEST</t>
  </si>
  <si>
    <t>WEIBULL</t>
  </si>
  <si>
    <t>Cubes</t>
  </si>
  <si>
    <t>CUBEKPIMEMBER</t>
  </si>
  <si>
    <t>CUBEMEMBER</t>
  </si>
  <si>
    <t>CUBEMEMBERPROPERTY</t>
  </si>
  <si>
    <t>CUBERANKEDMEMBER</t>
  </si>
  <si>
    <t>CUBESET</t>
  </si>
  <si>
    <t>CUBESETCOUNT</t>
  </si>
  <si>
    <t>CUBEVALUE</t>
  </si>
  <si>
    <t>Databases</t>
  </si>
  <si>
    <t>Date and times</t>
  </si>
  <si>
    <t>DAYS</t>
  </si>
  <si>
    <t>ISOWEEKNUM</t>
  </si>
  <si>
    <t>NETWORKDAYS.INTL</t>
  </si>
  <si>
    <t>WORKDAY.INTL</t>
  </si>
  <si>
    <t>YEARFRAC</t>
  </si>
  <si>
    <t>Engineerings</t>
  </si>
  <si>
    <t>BESSELI</t>
  </si>
  <si>
    <t>Returns the modified Bessel In(x)</t>
  </si>
  <si>
    <t>BESSELJ</t>
  </si>
  <si>
    <t>Returns the Bessel Jn(x)</t>
  </si>
  <si>
    <t>BESSELK</t>
  </si>
  <si>
    <t>Returns the modified Bessel Kn(x)</t>
  </si>
  <si>
    <t>BESSELY</t>
  </si>
  <si>
    <t>Returns the Bessel Yn(x)</t>
  </si>
  <si>
    <t>BIN2DEC</t>
  </si>
  <si>
    <t>BIN2HEX</t>
  </si>
  <si>
    <t>BIN2OCT</t>
  </si>
  <si>
    <t>BITAND</t>
  </si>
  <si>
    <t>BITLSHIFT</t>
  </si>
  <si>
    <t>BITOR</t>
  </si>
  <si>
    <t>BITRSHIFT</t>
  </si>
  <si>
    <t>BITXOR</t>
  </si>
  <si>
    <t>COMPLEX</t>
  </si>
  <si>
    <t>CONVERT</t>
  </si>
  <si>
    <t>DEC2BIN</t>
  </si>
  <si>
    <t>DEC2HEX</t>
  </si>
  <si>
    <t>DEC2OCT</t>
  </si>
  <si>
    <t>DELTA</t>
  </si>
  <si>
    <t>ERF</t>
  </si>
  <si>
    <t>Returns the error</t>
  </si>
  <si>
    <t>ERF.PRECISE</t>
  </si>
  <si>
    <t>ERFC</t>
  </si>
  <si>
    <t>Returns the complementary error</t>
  </si>
  <si>
    <t>ERFC.PRECISE</t>
  </si>
  <si>
    <t>Returns the complementary ERF integrated between x and infinity</t>
  </si>
  <si>
    <t>GESTEP</t>
  </si>
  <si>
    <t>HEX2BIN</t>
  </si>
  <si>
    <t>HEX2DEC</t>
  </si>
  <si>
    <t>HEX2OCT</t>
  </si>
  <si>
    <t>IMABS</t>
  </si>
  <si>
    <t>IMAGINARY</t>
  </si>
  <si>
    <t>IMARGUMENT</t>
  </si>
  <si>
    <t>IMCONJUGATE</t>
  </si>
  <si>
    <t>IMCOS</t>
  </si>
  <si>
    <t>IMCOSH</t>
  </si>
  <si>
    <t>IMCOT</t>
  </si>
  <si>
    <t>IMCSC</t>
  </si>
  <si>
    <t>IMCSCH</t>
  </si>
  <si>
    <t>IMDIV</t>
  </si>
  <si>
    <t>IMEXP</t>
  </si>
  <si>
    <t>IMLN</t>
  </si>
  <si>
    <t>IMLOG10</t>
  </si>
  <si>
    <t>IMLOG2</t>
  </si>
  <si>
    <t>IMPOWER</t>
  </si>
  <si>
    <t>IMPRODUCT</t>
  </si>
  <si>
    <t>IMREAL</t>
  </si>
  <si>
    <t>IMSEC</t>
  </si>
  <si>
    <t>IMSECH</t>
  </si>
  <si>
    <t>IMSIN</t>
  </si>
  <si>
    <t>IMSINH</t>
  </si>
  <si>
    <t>IMSQRT</t>
  </si>
  <si>
    <t>IMSUB</t>
  </si>
  <si>
    <t>IMSUM</t>
  </si>
  <si>
    <t>IMTAN</t>
  </si>
  <si>
    <t>OCT2BIN</t>
  </si>
  <si>
    <t>OCT2DEC</t>
  </si>
  <si>
    <t>OCT2HEX</t>
  </si>
  <si>
    <t>Financials</t>
  </si>
  <si>
    <t>ACCRINT</t>
  </si>
  <si>
    <t>ACCRINTM</t>
  </si>
  <si>
    <t>AMORDEGRC</t>
  </si>
  <si>
    <t>AMORLINC</t>
  </si>
  <si>
    <t>COUPDAYBS</t>
  </si>
  <si>
    <t>COUPDAYS</t>
  </si>
  <si>
    <t>COUPDAYSNC</t>
  </si>
  <si>
    <t>COUPNCD</t>
  </si>
  <si>
    <t>COUPNUM</t>
  </si>
  <si>
    <t>COUPPCD</t>
  </si>
  <si>
    <t>CUMIPMT</t>
  </si>
  <si>
    <t>CUMPRINC</t>
  </si>
  <si>
    <t>DOLLARDE</t>
  </si>
  <si>
    <t>DOLLARFR</t>
  </si>
  <si>
    <t>DURATION</t>
  </si>
  <si>
    <t>EFFECT</t>
  </si>
  <si>
    <t>FVSCHEDULE</t>
  </si>
  <si>
    <t>INTRATE</t>
  </si>
  <si>
    <t>IPMT</t>
  </si>
  <si>
    <t>IRR</t>
  </si>
  <si>
    <t>ISPMT</t>
  </si>
  <si>
    <t>MDURATION</t>
  </si>
  <si>
    <t>MIRR</t>
  </si>
  <si>
    <t>NOMINAL</t>
  </si>
  <si>
    <t>NPER</t>
  </si>
  <si>
    <t>NPV</t>
  </si>
  <si>
    <t>ODDFPRICE</t>
  </si>
  <si>
    <t>ODDFYIELD</t>
  </si>
  <si>
    <t>ODDLPRICE</t>
  </si>
  <si>
    <t>ODDLYIELD</t>
  </si>
  <si>
    <t>PDURATION</t>
  </si>
  <si>
    <t>PPMT</t>
  </si>
  <si>
    <t>PRICE</t>
  </si>
  <si>
    <t>PRICEDISC</t>
  </si>
  <si>
    <t>PRICEMAT</t>
  </si>
  <si>
    <t>RATE</t>
  </si>
  <si>
    <t>RECEIVED</t>
  </si>
  <si>
    <t>RRI</t>
  </si>
  <si>
    <t>TBILLEQ</t>
  </si>
  <si>
    <t>TBILLPRICE</t>
  </si>
  <si>
    <t>TBILLYIELD</t>
  </si>
  <si>
    <t>VDB</t>
  </si>
  <si>
    <t>XIRR</t>
  </si>
  <si>
    <t>XNPV</t>
  </si>
  <si>
    <t>YIELD</t>
  </si>
  <si>
    <t>YIELDDISC</t>
  </si>
  <si>
    <t>YIELDMAT</t>
  </si>
  <si>
    <t>Informations</t>
  </si>
  <si>
    <t>Returns information about the formatting, location, or contents of a cell  Note    This is not available in Excel Web App.</t>
  </si>
  <si>
    <t>Returns information about the current operating environment.  Note    This is not available in Excel Web App.</t>
  </si>
  <si>
    <t>ISEVEN</t>
  </si>
  <si>
    <t>ISFORMULA</t>
  </si>
  <si>
    <t>ISLOGICAL</t>
  </si>
  <si>
    <t>ISNONTEXT</t>
  </si>
  <si>
    <t>ISODD</t>
  </si>
  <si>
    <t>N</t>
  </si>
  <si>
    <t>NA</t>
  </si>
  <si>
    <t>SHEET</t>
  </si>
  <si>
    <t>SHEETS</t>
  </si>
  <si>
    <t>TYPE</t>
  </si>
  <si>
    <t>Logicals</t>
  </si>
  <si>
    <t>IFNA</t>
  </si>
  <si>
    <t>XOR</t>
  </si>
  <si>
    <t>Lookup and references</t>
  </si>
  <si>
    <t>ADDRESS</t>
  </si>
  <si>
    <t>AREAS</t>
  </si>
  <si>
    <t>COLUMN</t>
  </si>
  <si>
    <t>COLUMNS</t>
  </si>
  <si>
    <t>FORMULATEXT</t>
  </si>
  <si>
    <t>INDIRECT</t>
  </si>
  <si>
    <t>MATCH</t>
  </si>
  <si>
    <t>OFFSET</t>
  </si>
  <si>
    <t>ROW</t>
  </si>
  <si>
    <t>ROWS</t>
  </si>
  <si>
    <t>RTD</t>
  </si>
  <si>
    <t>Math and trigonometrys</t>
  </si>
  <si>
    <t>ABS</t>
  </si>
  <si>
    <t>ACOS</t>
  </si>
  <si>
    <t>ACOSH</t>
  </si>
  <si>
    <t>ACOT</t>
  </si>
  <si>
    <t>ACOTH</t>
  </si>
  <si>
    <t>AGGREGATE</t>
  </si>
  <si>
    <t>ARABIC</t>
  </si>
  <si>
    <t>ASIN</t>
  </si>
  <si>
    <t>ASINH</t>
  </si>
  <si>
    <t>ATAN</t>
  </si>
  <si>
    <t>ATAN2</t>
  </si>
  <si>
    <t>ATANH</t>
  </si>
  <si>
    <t>BASE</t>
  </si>
  <si>
    <t>CEILING</t>
  </si>
  <si>
    <t>CEILING.MATH</t>
  </si>
  <si>
    <t>CEILING.PRECISE</t>
  </si>
  <si>
    <t>COMBIN</t>
  </si>
  <si>
    <t>COMBINA</t>
  </si>
  <si>
    <t>COS</t>
  </si>
  <si>
    <t>COSH</t>
  </si>
  <si>
    <t>COT</t>
  </si>
  <si>
    <t>COTH</t>
  </si>
  <si>
    <t>CSC</t>
  </si>
  <si>
    <t>CSCH</t>
  </si>
  <si>
    <t>DECIMAL</t>
  </si>
  <si>
    <t>DEGREES</t>
  </si>
  <si>
    <t>EVEN</t>
  </si>
  <si>
    <t>EXP</t>
  </si>
  <si>
    <t>FACT</t>
  </si>
  <si>
    <t>FACTDOUBLE</t>
  </si>
  <si>
    <t>FLOOR</t>
  </si>
  <si>
    <t>FLOOR.MATH</t>
  </si>
  <si>
    <t>FLOOR.PRECISE</t>
  </si>
  <si>
    <t>GCD</t>
  </si>
  <si>
    <t>INT</t>
  </si>
  <si>
    <t>ISO.CEILING</t>
  </si>
  <si>
    <t>LCM</t>
  </si>
  <si>
    <t>LN</t>
  </si>
  <si>
    <t>LOG</t>
  </si>
  <si>
    <t>LOG10</t>
  </si>
  <si>
    <t>MDETERM</t>
  </si>
  <si>
    <t>MINVERSE</t>
  </si>
  <si>
    <t>MMULT</t>
  </si>
  <si>
    <t>MOD</t>
  </si>
  <si>
    <t>MROUND</t>
  </si>
  <si>
    <t>MULTINOMIAL</t>
  </si>
  <si>
    <t>MUNIT</t>
  </si>
  <si>
    <t>ODD</t>
  </si>
  <si>
    <t>PI</t>
  </si>
  <si>
    <t>POWER</t>
  </si>
  <si>
    <t>PRODUCT</t>
  </si>
  <si>
    <t>QUOTIENT</t>
  </si>
  <si>
    <t>RADIANS</t>
  </si>
  <si>
    <t>ROMAN</t>
  </si>
  <si>
    <t>SEC</t>
  </si>
  <si>
    <t>SECH</t>
  </si>
  <si>
    <t>SERIESSUM</t>
  </si>
  <si>
    <t>SIN</t>
  </si>
  <si>
    <t>SINH</t>
  </si>
  <si>
    <t>SQRT</t>
  </si>
  <si>
    <t>SQRTPI</t>
  </si>
  <si>
    <t>SUMPRODUCT</t>
  </si>
  <si>
    <t>SUMSQ</t>
  </si>
  <si>
    <t>SUMX2MY2</t>
  </si>
  <si>
    <t>SUMX2PY2</t>
  </si>
  <si>
    <t>SUMXMY2</t>
  </si>
  <si>
    <t>TAN</t>
  </si>
  <si>
    <t>TANH</t>
  </si>
  <si>
    <t>TRUNC</t>
  </si>
  <si>
    <t>Statisticals</t>
  </si>
  <si>
    <t>AVEDEV</t>
  </si>
  <si>
    <t>AVERAGEA</t>
  </si>
  <si>
    <t>BETA.DIST</t>
  </si>
  <si>
    <t>BETA.INV</t>
  </si>
  <si>
    <t>BINOM.DIST</t>
  </si>
  <si>
    <t>BINOM.DIST.RANGE</t>
  </si>
  <si>
    <t>BINOM.INV</t>
  </si>
  <si>
    <t>CHISQ.DIST</t>
  </si>
  <si>
    <t>Returns the cumulative beta probability density</t>
  </si>
  <si>
    <t>CHISQ.DIST.RT</t>
  </si>
  <si>
    <t>CHISQ.INV</t>
  </si>
  <si>
    <t>CHISQ.INV.RT</t>
  </si>
  <si>
    <t>CHISQ.TEST</t>
  </si>
  <si>
    <t>CONFIDENCE.NORM</t>
  </si>
  <si>
    <t>CONFIDENCE.T</t>
  </si>
  <si>
    <t>CORREL</t>
  </si>
  <si>
    <t>COVARIANCE.P</t>
  </si>
  <si>
    <t>COVARIANCE.S</t>
  </si>
  <si>
    <t>DEVSQ</t>
  </si>
  <si>
    <t>EXPON.DIST</t>
  </si>
  <si>
    <t>F.DIST</t>
  </si>
  <si>
    <t>F.DIST.RT</t>
  </si>
  <si>
    <t>F.INV</t>
  </si>
  <si>
    <t>F.INV.RT</t>
  </si>
  <si>
    <t>F.TEST</t>
  </si>
  <si>
    <t>FISHER</t>
  </si>
  <si>
    <t>FISHERINV</t>
  </si>
  <si>
    <t>FREQUENCY</t>
  </si>
  <si>
    <t>GAMMA</t>
  </si>
  <si>
    <t>Returns the Gamma value</t>
  </si>
  <si>
    <t>GAMMA.DIST</t>
  </si>
  <si>
    <t>GAMMA.INV</t>
  </si>
  <si>
    <t>GAMMALN</t>
  </si>
  <si>
    <t>Returns the natural logarithm of the gamma, Γ(x)</t>
  </si>
  <si>
    <t>GAMMALN.PRECISE</t>
  </si>
  <si>
    <t>GAUSS</t>
  </si>
  <si>
    <t>GEOMEAN</t>
  </si>
  <si>
    <t>HARMEAN</t>
  </si>
  <si>
    <t>HYPGEOM.DIST</t>
  </si>
  <si>
    <t>KURT</t>
  </si>
  <si>
    <t>LARGE</t>
  </si>
  <si>
    <t>LOGNORM.DIST</t>
  </si>
  <si>
    <t>LOGNORM.INV</t>
  </si>
  <si>
    <t>MAXA</t>
  </si>
  <si>
    <t>MEDIAN</t>
  </si>
  <si>
    <t>MINA</t>
  </si>
  <si>
    <t>MODE.MULT</t>
  </si>
  <si>
    <t>MODE.SNGL</t>
  </si>
  <si>
    <t>NEGBINOM.DIST</t>
  </si>
  <si>
    <t>NORM.DIST</t>
  </si>
  <si>
    <t>NORM.INV</t>
  </si>
  <si>
    <t>NORM.S.DIST</t>
  </si>
  <si>
    <t>NORM.S.INV</t>
  </si>
  <si>
    <t>PERCENTILE.EXC</t>
  </si>
  <si>
    <t>PERCENTILE.INC</t>
  </si>
  <si>
    <t>PERCENTRANK.EXC</t>
  </si>
  <si>
    <t>PERCENTRANK.INC</t>
  </si>
  <si>
    <t>PERMUT</t>
  </si>
  <si>
    <t>PERMUTATIONA</t>
  </si>
  <si>
    <t>PHI</t>
  </si>
  <si>
    <t>Returns the value of the density for a standard normal distribution</t>
  </si>
  <si>
    <t>POISSON.DIST</t>
  </si>
  <si>
    <t>PROB</t>
  </si>
  <si>
    <t>QUARTILE.EXC</t>
  </si>
  <si>
    <t>QUARTILE.INC</t>
  </si>
  <si>
    <t>RANK.AVG</t>
  </si>
  <si>
    <t>RANK.EQ</t>
  </si>
  <si>
    <t>SKEW</t>
  </si>
  <si>
    <t>SKEW.P</t>
  </si>
  <si>
    <t>SMALL</t>
  </si>
  <si>
    <t>STANDARDIZE</t>
  </si>
  <si>
    <t>STDEV.P</t>
  </si>
  <si>
    <t>STDEV.S</t>
  </si>
  <si>
    <t>T.DIST</t>
  </si>
  <si>
    <t>T.DIST.2T</t>
  </si>
  <si>
    <t>T.DIST.RT</t>
  </si>
  <si>
    <t>T.INV</t>
  </si>
  <si>
    <t>Returns the t-value of the Student's t-distribution as a of the probability and the degrees of freedom</t>
  </si>
  <si>
    <t>T.INV.2T</t>
  </si>
  <si>
    <t>T.TEST</t>
  </si>
  <si>
    <t>TRIMMEAN</t>
  </si>
  <si>
    <t>VAR.P</t>
  </si>
  <si>
    <t>VAR.S</t>
  </si>
  <si>
    <t>WEIBULL.DIST</t>
  </si>
  <si>
    <t>Z.TEST</t>
  </si>
  <si>
    <t>Texts</t>
  </si>
  <si>
    <t>ASC</t>
  </si>
  <si>
    <t>BAHTTEXT</t>
  </si>
  <si>
    <t>CHAR</t>
  </si>
  <si>
    <t>CODE</t>
  </si>
  <si>
    <t>DBCS</t>
  </si>
  <si>
    <t>DOLLAR</t>
  </si>
  <si>
    <t>EXACT</t>
  </si>
  <si>
    <t>FIND, FINDBs</t>
  </si>
  <si>
    <t>FIXED</t>
  </si>
  <si>
    <t>LEFT, LEFTBs</t>
  </si>
  <si>
    <t>LEN, LENBs</t>
  </si>
  <si>
    <t>MID, MIDBs</t>
  </si>
  <si>
    <t>NUMBERVALUE</t>
  </si>
  <si>
    <t>PHONETIC</t>
  </si>
  <si>
    <t>REPLACE, REPLACEBs</t>
  </si>
  <si>
    <t>RIGHT, RIGHTBs</t>
  </si>
  <si>
    <t>SEARCH, SEARCHBs</t>
  </si>
  <si>
    <t>UNICHAR</t>
  </si>
  <si>
    <t>UNICODE</t>
  </si>
  <si>
    <t>User defineds that are installed with add-ins</t>
  </si>
  <si>
    <t>CALL</t>
  </si>
  <si>
    <t>EUROCONVERT</t>
  </si>
  <si>
    <t>REGISTER.ID</t>
  </si>
  <si>
    <t>SQL.REQUEST</t>
  </si>
  <si>
    <t>Webs</t>
  </si>
  <si>
    <t>ENCODEURL</t>
  </si>
  <si>
    <t>FILTERXML</t>
  </si>
  <si>
    <t>WEBSERVICE</t>
  </si>
  <si>
    <t>Carlton's Top 171 Excel Functions for CPAs</t>
  </si>
  <si>
    <t>(Sorted according to usefulness, according to Carlton's best guess)</t>
  </si>
  <si>
    <t>J. Carlton Collins, CPA - Copyright, April 2013, carlton@asaresearch.com</t>
  </si>
  <si>
    <t>Go To…</t>
  </si>
  <si>
    <t>IF (213) - Specifies a logical test to perform.</t>
  </si>
  <si>
    <t>SUM (307) - Adds its arguments.</t>
  </si>
  <si>
    <t>SUBTOTAL (306) - Returns a subtotal in a list or database.</t>
  </si>
  <si>
    <t>SUMIF (308) - Adds the cells specified by a given criteria.</t>
  </si>
  <si>
    <t>COUNT (336) - Counts how many numbers are in the list of arguments.</t>
  </si>
  <si>
    <t>COUNTA (337) - Counts how many values are in the list of arguments.</t>
  </si>
  <si>
    <t>AVERAGE (319) - Returns the average of its arguments.</t>
  </si>
  <si>
    <t>COUNTBLANK (338) - Counts the number of blank cells within a range.</t>
  </si>
  <si>
    <t>COUNTIF (339) - Counts the number of cells within a range that meet the given criteria.</t>
  </si>
  <si>
    <t>VALUE (451) - Converts a text argument to a number.</t>
  </si>
  <si>
    <t>TEXT (446) - Formats a number and converts it to text.</t>
  </si>
  <si>
    <t>VLOOKUP (238) - Looks in the first column of an array and moves across the row to return the value of the indicated cell.</t>
  </si>
  <si>
    <t>HLOOKUP (227) - Looks in the top row of an array and returns the value of the indicated cell.</t>
  </si>
  <si>
    <t>TWO WAY LOOKUP – Using both VLOOKUP and HLOOKUP together.</t>
  </si>
  <si>
    <t>LOOKUP (231) - Looks up values in a vector or array.</t>
  </si>
  <si>
    <t>MATCH (232) - Looks up values in a reference or array.</t>
  </si>
  <si>
    <t>TRIM (447) - Removes spaces from text.</t>
  </si>
  <si>
    <t>PROPER (439) - Capitalizes the first letter in each word of a text value.</t>
  </si>
  <si>
    <t>LOWER (435) - Converts text to lowercase.</t>
  </si>
  <si>
    <t>UPPER (450) - Converts text to uppercase.</t>
  </si>
  <si>
    <t>LEFT, LEFTBs (433) - Returns the leftmost characters from a text value.</t>
  </si>
  <si>
    <t>RIGHT, RIGHTBs (442) - Returns the rightmost characters from a text value.</t>
  </si>
  <si>
    <t>MID, MIDBs (436) - Returns a specific number of characters from a text string starting at the position.</t>
  </si>
  <si>
    <t>FIND, FINDBs (431) - Finds one text value within another (case-sensitive).</t>
  </si>
  <si>
    <t>SUBSTITUTE (444) - Substitutes new text for old text in a text string.</t>
  </si>
  <si>
    <t>LEN, LENBs (434) - Returns the number of characters in a text string.</t>
  </si>
  <si>
    <t>REPLACE, REPLACEBs (440) - Replaces characters within text.</t>
  </si>
  <si>
    <t>CONCATENATE (427) - Joins several text items into one text item.</t>
  </si>
  <si>
    <t>CLEAN (425) - Removes all nonprintable characters from text.</t>
  </si>
  <si>
    <t>NOW (71) - Returns the serial number of the current date and time.</t>
  </si>
  <si>
    <t>TODAY (75) - Returns the serial number of today's date.</t>
  </si>
  <si>
    <t>DATE (58) - Returns the serial number of a particular date.</t>
  </si>
  <si>
    <t>MONTH (68) - Converts a serial number to a month.</t>
  </si>
  <si>
    <t>DAY (60) - Converts a serial number to a day of the month.</t>
  </si>
  <si>
    <t>YEAR (80) - Converts a serial number to a year.</t>
  </si>
  <si>
    <t>WEEKDAY (76) - Converts a serial number to a day of the week.</t>
  </si>
  <si>
    <t>ROUND (295) - Rounds a number to a specified number of digits.</t>
  </si>
  <si>
    <t>ROUNDDOWN (296) - Rounds a number down, toward zero.</t>
  </si>
  <si>
    <t>ROUNDUP (297) - Rounds a number up, away from zero.</t>
  </si>
  <si>
    <t>MAX (371) - Returns the maximum value in a list of arguments.</t>
  </si>
  <si>
    <t>DMAX (50) - Returns the maximum value from selected database entries.</t>
  </si>
  <si>
    <t>MIN (374) - Returns the minimum value in a list of arguments.</t>
  </si>
  <si>
    <t>DMIN (51) - Returns the minimum value from selected database entries.</t>
  </si>
  <si>
    <t>MEDIAN - Returns the median of the given numbers.</t>
  </si>
  <si>
    <t>MODE - Returns the most common value in a data set.</t>
  </si>
  <si>
    <t>PERCENTILE (25) - Returns the k-th percentile of values in a range.</t>
  </si>
  <si>
    <t>PERCENTRANK (26) - Returns the percentage rank of a value in a data set.</t>
  </si>
  <si>
    <t>PMT (171) - Returns the periodic payment for an annuity.</t>
  </si>
  <si>
    <t>NPV (165) - Returns the net present value of an investment based on a series of periodic cash flows .</t>
  </si>
  <si>
    <t>DSUM (55) - Adds the numbers in the field column of records in the database that match the criteria.</t>
  </si>
  <si>
    <t>DCOUNT (47) - Counts the cells that contain numbers in a database.</t>
  </si>
  <si>
    <t>DCOUNTA (48) - Counts nonblank cells in a database.</t>
  </si>
  <si>
    <t>AND (211) - Returns TRUE if all of its arguments are TRUE.</t>
  </si>
  <si>
    <t>OR (217) - Returns TRUE if any argument is TRUE.</t>
  </si>
  <si>
    <t>CHOOSE (222) - Chooses a value from a list of values.</t>
  </si>
  <si>
    <t>TIME (73) - Returns the serial number of a particular time.</t>
  </si>
  <si>
    <t>FV (155) - Returns the future value of an investment.</t>
  </si>
  <si>
    <t>IRR (159) - Returns the internal rate of return for a series of cash flows.</t>
  </si>
  <si>
    <t>YIELD (188) - Returns the yield on a security that pays periodic interest.</t>
  </si>
  <si>
    <t>CELL (191) - Returns information about the formatting, location, or contents of a cell  Note    This.</t>
  </si>
  <si>
    <t>INFO (193) - Returns information about the current operating environment.  Note    This is not avail.</t>
  </si>
  <si>
    <t>ERROR.TYPE (192) - Returns a number corresponding to an error type.</t>
  </si>
  <si>
    <t>ISBLANK (194) - Returns TRUE if the value is blank.</t>
  </si>
  <si>
    <t>ISNA (200) - Returns TRUE if the value is the #N/A error value.</t>
  </si>
  <si>
    <t>GETPIVOTDATA (226) - Returns data stored in a PivotTable report.</t>
  </si>
  <si>
    <t>HYPERLINK (228) - Creates a shortcut or jump that opens a document stored on a network server, an in.</t>
  </si>
  <si>
    <t>TRANSPOSE (237) - Returns the transpose of an array.</t>
  </si>
  <si>
    <t>ABS (239) - Returns the absolute value of a number.</t>
  </si>
  <si>
    <t>RAND (292) - Returns a random number between 0 and 1.</t>
  </si>
  <si>
    <t>RANDBETWEEN (293) - Returns a random number between the numbers you specify.</t>
  </si>
  <si>
    <t>REPT (441) - Repeats text a given number of times.</t>
  </si>
  <si>
    <t>SLN (180) - Returns the straight-line depreciation of an asset for one period.</t>
  </si>
  <si>
    <t>SYD - Returns the sum-of-years' digits depreciation of an asset for a specified period.</t>
  </si>
  <si>
    <t>DDB (149) - Returns the depreciation of an asset for a specified period by using the double-declining balance method.</t>
  </si>
  <si>
    <t>DGET (49) - Extracts from a database a single record that matches the specified criteria.</t>
  </si>
  <si>
    <t>ADDRESS (220) - Returns a reference as text to a single cell in a worksheet.</t>
  </si>
  <si>
    <t>AGGREGATE (244) - Returns an aggregate in a list or database.</t>
  </si>
  <si>
    <t>FORECAST (352) - Returns a value along a linear trend.</t>
  </si>
  <si>
    <t>GROWTH (361) - Returns values along an exponential trend.</t>
  </si>
  <si>
    <t>LARGE (366) - Returns the k-th largest value in a data set.</t>
  </si>
  <si>
    <t>NOT (216) - Reverses the logic of its argument.</t>
  </si>
  <si>
    <t>OFFSET (233) - Returns a reference offset from a given reference.</t>
  </si>
  <si>
    <t>PEARSON (383) - Returns the Pearson product moment correlation coefficient.</t>
  </si>
  <si>
    <t>PV (176) - Returns the present value of an investment.</t>
  </si>
  <si>
    <t>RATE (177) - Returns the interest rate per period of an annuity.</t>
  </si>
  <si>
    <t>SEARCH, SEARCHBs (443) - Finds one text value within another (not case-sensitive).</t>
  </si>
  <si>
    <t>SMALL (401) - Returns the k-th smallest value in a data set.</t>
  </si>
  <si>
    <t>XIRR (186) - Returns the internal rate of return for a schedule of cash flows that is not necessarily.</t>
  </si>
  <si>
    <t>XOR (219) - Returns a logical exclusive OR of all arguments.</t>
  </si>
  <si>
    <t>AVERAGEIF (321) - Returns the average (arithmetic mean) of all the cells in a range that meet a give.</t>
  </si>
  <si>
    <t>AVERAGEIFS (322) - Returns the average (arithmetic mean) of all cells that meet multiple criteria.</t>
  </si>
  <si>
    <t>COLUMN (223) - Returns the column number of a reference.</t>
  </si>
  <si>
    <t>COLUMNS (224) - Returns the number of columns in a reference.</t>
  </si>
  <si>
    <t>CONVERT (95) - Converts a number from one measurement system to another.</t>
  </si>
  <si>
    <t>COUNTIFS (340) - Counts the number of cells within a range that meet multiple criteria.</t>
  </si>
  <si>
    <t>DATEVALUE (59) - Converts a date in the form of text to a serial number.</t>
  </si>
  <si>
    <t>DECIMAL (263) - Converts a text representation of a number in a given base into a decimal number.</t>
  </si>
  <si>
    <t>DOLLAR (429) - Converts a number to text, using the $ (dollar) currency format.</t>
  </si>
  <si>
    <t>EXACT (430) - Checks to see if two text values are identical.</t>
  </si>
  <si>
    <t>FORMULATEXT (225) - Returns the formula at the given reference as text.</t>
  </si>
  <si>
    <t>HOUR (65) - Converts a serial number to an hour.</t>
  </si>
  <si>
    <t>INDEX (229) - Uses an index to choose a value from a reference or array.</t>
  </si>
  <si>
    <t>ISERR (195) - Returns TRUE if the value is any error value except #N/A.</t>
  </si>
  <si>
    <t>ISERROR (196) - Returns TRUE if the value is any error value.</t>
  </si>
  <si>
    <t>ISFORMULA (198) - Returns TRUE if there is a reference to a cell that contains a formula.</t>
  </si>
  <si>
    <t>KURT (365) - Returns the kurtosis of a data set.</t>
  </si>
  <si>
    <t>MINUTE (67) - Converts a serial number to a minute.</t>
  </si>
  <si>
    <t>NA (207) - Returns the error value #N/A.</t>
  </si>
  <si>
    <t>PPMT (172) - Returns the payment on the principal for an investment for a given period.</t>
  </si>
  <si>
    <t>ROW (234) - Returns the row number of a reference.</t>
  </si>
  <si>
    <t>ROWS (235) - Returns the number of rows in a reference.</t>
  </si>
  <si>
    <t>RSQ (397) - Returns the square of the Pearson product moment correlation coefficient.</t>
  </si>
  <si>
    <t>SHEET (208) - Returns the sheet number of the referenced sheet.</t>
  </si>
  <si>
    <t>SHEETS (209) - Returns the number of sheets in a reference.</t>
  </si>
  <si>
    <t>SKEW (398) - Returns the skewness of a distribution.</t>
  </si>
  <si>
    <t>SKEW.P (399) - Returns the skewness of a distribution based on a population: a characterization of t.</t>
  </si>
  <si>
    <t>SUMIFS (309) - Adds the cells in a range that meet multiple criteria.</t>
  </si>
  <si>
    <t>T (445) - Converts its arguments to text.</t>
  </si>
  <si>
    <t>TYPE (210) - Returns a number indicating the data type of a value.</t>
  </si>
  <si>
    <t>WEEKNUM (77) - Converts a serial number to a number representing where the week falls numerically with a year.</t>
  </si>
  <si>
    <t>WORKDAY (78) - Returns the serial number of the date before or after a specified number of workdays.</t>
  </si>
  <si>
    <t>XNPV (187) - Returns the net present value for a schedule of cash flows that is not necessarily periodic.</t>
  </si>
  <si>
    <t>EFFECT (154) - Returns the effective annual interest rate.</t>
  </si>
  <si>
    <t>INT (273) - Rounds a number down to the nearest integer.</t>
  </si>
  <si>
    <t>INTERCEPT (364) - Returns the intercept of the linear regression line.</t>
  </si>
  <si>
    <t>RANK (29) - Returns the rank of a number in a list of numbers.</t>
  </si>
  <si>
    <t>RRI (179) - Returns an equivalent interest rate for the growth of an investment.</t>
  </si>
  <si>
    <t>SIGN (301) - Returns the sign of a number.</t>
  </si>
  <si>
    <t>SLOPE (400) - Returns the slope of the linear regression line.</t>
  </si>
  <si>
    <t>CEILING (252) - Rounds a number to the nearest integer or to the nearest multiple of significance.</t>
  </si>
  <si>
    <t>CEILING.MATH (253) - Rounds a number up, to the nearest integer or to the nearest multiple of significance.</t>
  </si>
  <si>
    <t>CHAR (424) - Returns the character specified by the code number.</t>
  </si>
  <si>
    <t>CODE (426) - Returns a numeric code for the first character in a text string.</t>
  </si>
  <si>
    <t>DAVERAGE (46) - Returns the average of selected database entries.</t>
  </si>
  <si>
    <t>DAYS (61) - Returns the number of days between two dates.</t>
  </si>
  <si>
    <t>FALSE (212) - Returns the logical value FALSE.</t>
  </si>
  <si>
    <t>FIXED (432) - Formats a number as text with a fixed number of decimals.</t>
  </si>
  <si>
    <t>FLOOR.MATH (270) - Rounds a number down, to the nearest integer or to the nearest multiple of significance .</t>
  </si>
  <si>
    <t>IFERROR (214) - Returns a value you specify if a formula evaluates to an error; otherwise, returns t.</t>
  </si>
  <si>
    <t>IFNA (215) - Returns the value you specify if the expression resolves to #N/A, otherwise returns the.</t>
  </si>
  <si>
    <t>INDIRECT (230) - Returns a reference indicated by a text value.</t>
  </si>
  <si>
    <t>IPMT (158) - Returns the interest payment for an investment for a given period.</t>
  </si>
  <si>
    <t>ISNONTEXT (201) - Returns TRUE if the value is not text.</t>
  </si>
  <si>
    <t>ISNUMBER (202) - Returns TRUE if the value is a number.</t>
  </si>
  <si>
    <t>MAXA (372) - Returns the maximum value in a list of arguments, including numbers, text, and logical .</t>
  </si>
  <si>
    <t>MINA (375) - Returns the smallest value in a list of arguments, including numbers, text, and logical.</t>
  </si>
  <si>
    <t>N (206) - Returns a value converted to a number.</t>
  </si>
  <si>
    <t>NETWORKDAYS (69) - Returns the number of whole workdays between two dates.</t>
  </si>
  <si>
    <t>RECEIVED (178) - Returns the amount received at maturity for a fully invested security.</t>
  </si>
  <si>
    <t>SECOND (72) - Converts a serial number to a second.</t>
  </si>
  <si>
    <t>SUMPRODUCT (310) - Returns the sum of the products of corresponding array components.</t>
  </si>
  <si>
    <t>TREND (414) - Returns values along a linear trend.</t>
  </si>
  <si>
    <t>TRUE (218) - Returns the logical value TRUE.</t>
  </si>
  <si>
    <t>ACCRINT (136) - Returns the accrued interest for a security that pays periodic interest.</t>
  </si>
  <si>
    <t>ACCRINTM (137) - Returns the accrued interest for a security that pays interest at maturity.</t>
  </si>
  <si>
    <t>ISPMT (160) - Calculates the interest paid during a specific period of an investment.</t>
  </si>
  <si>
    <t>ISTEXT (205) - Returns TRUE if the value is text.</t>
  </si>
  <si>
    <t>LINEST (367) - Returns the parameters of a linear trend.</t>
  </si>
  <si>
    <t>CUBEKPIMEMBER (39) - Returns a key performance indicator (KPI) property and displays the KPI name in.</t>
  </si>
  <si>
    <t>DELTA (99) - Tests whether two values are equal.</t>
  </si>
  <si>
    <t>EVEN (265) - Rounds a number up to the nearest even integer.</t>
  </si>
  <si>
    <t>ISEVEN (197) - Returns TRUE if the number is even.</t>
  </si>
  <si>
    <t>ISODD (203) - Returns TRUE if the number is odd.</t>
  </si>
  <si>
    <t>ISOWEEKNUM (66) - Returns the number of the ISO week number of the year for a given date.</t>
  </si>
  <si>
    <t>LOGEST (368) - Returns the parameters of an exponential trend.</t>
  </si>
  <si>
    <t>ODD (286) - Rounds a number up to the nearest odd integer.</t>
  </si>
  <si>
    <t>PRODUCT (289) - Multiplies its arguments.</t>
  </si>
  <si>
    <t>QUOTIENT (290) - Returns the integer portion of a division.</t>
  </si>
  <si>
    <t>STDEVP (31) - Calculates standard deviation based on the entire population.</t>
  </si>
  <si>
    <t>TBILLEQ (182) - Returns the bond-equivalent yield for a Treasury bill.</t>
  </si>
  <si>
    <t>TBILLYIELD (184) - Returns the yield for a Treasury bill.</t>
  </si>
  <si>
    <t>TIMEVALUE (74) - Converts a time in the form of text to a serial number.</t>
  </si>
  <si>
    <t>In case you are intetrested, these are the functions added in each subsequent edition of Excel:</t>
  </si>
  <si>
    <t>Added In 2002</t>
  </si>
  <si>
    <t>Added In 2013</t>
  </si>
  <si>
    <t>NETWORKDAYS.INT</t>
  </si>
  <si>
    <t>NORM.S.IN</t>
  </si>
  <si>
    <t>POISSON.DIS</t>
  </si>
  <si>
    <t>RANK.E</t>
  </si>
  <si>
    <t>T.DIS</t>
  </si>
  <si>
    <t>Added In 2010</t>
  </si>
  <si>
    <t>Added In 2007</t>
  </si>
  <si>
    <t>Once you've started to learn these</t>
  </si>
  <si>
    <t xml:space="preserve">(Previously RandBetween </t>
  </si>
  <si>
    <t>was an add-in Function)</t>
  </si>
  <si>
    <t>Summary</t>
  </si>
  <si>
    <t xml:space="preserve">       I realize this list is 172 long, but item 14 is not a function; hence only 171 top functions ;-)</t>
  </si>
  <si>
    <t>Compatibility</t>
  </si>
  <si>
    <r>
      <t xml:space="preserve">Returns </t>
    </r>
    <r>
      <rPr>
        <i/>
        <sz val="12"/>
        <color rgb="FF444444"/>
        <rFont val="Calibri"/>
        <family val="2"/>
        <scheme val="minor"/>
      </rPr>
      <t>e</t>
    </r>
    <r>
      <rPr>
        <sz val="12"/>
        <color rgb="FF444444"/>
        <rFont val="Calibri"/>
        <family val="2"/>
        <scheme val="minor"/>
      </rPr>
      <t xml:space="preserve"> raised to the power of a given number</t>
    </r>
  </si>
  <si>
    <t>Presented below is a listing of all 455 Excel functions, and I've highlighted in red the ones that I consider to be most relevant and important to CPAs</t>
  </si>
  <si>
    <t>Click on the hyperlink (in the column A area) to go to an example use of that function</t>
  </si>
  <si>
    <r>
      <t xml:space="preserve">The numbers in parenthesis correspond to the order in which each function appears on the </t>
    </r>
    <r>
      <rPr>
        <b/>
        <sz val="10"/>
        <color theme="1"/>
        <rFont val="Calibri"/>
        <family val="2"/>
      </rPr>
      <t>All Functions</t>
    </r>
    <r>
      <rPr>
        <sz val="10"/>
        <color theme="1"/>
        <rFont val="Calibri"/>
        <family val="2"/>
      </rPr>
      <t xml:space="preserve"> </t>
    </r>
    <r>
      <rPr>
        <i/>
        <sz val="10"/>
        <color theme="1"/>
        <rFont val="Calibri"/>
        <family val="2"/>
      </rPr>
      <t>worksheet</t>
    </r>
  </si>
  <si>
    <t>2014 Analysis</t>
  </si>
  <si>
    <t>Depreciation =</t>
  </si>
  <si>
    <t>Which Year?</t>
  </si>
  <si>
    <t>Salvage Value</t>
  </si>
  <si>
    <t>J. Carlton Collins, CPA - Copyright, April, 2013, carlton@asaresearch.com</t>
  </si>
  <si>
    <t>Recommended Sample Size</t>
  </si>
  <si>
    <t>Examples</t>
  </si>
  <si>
    <t>of Random</t>
  </si>
  <si>
    <t>Values</t>
  </si>
  <si>
    <t>Converted</t>
  </si>
  <si>
    <t>to</t>
  </si>
  <si>
    <t>Integers</t>
  </si>
  <si>
    <t>2014 Budget</t>
  </si>
  <si>
    <t>Part Number Only</t>
  </si>
  <si>
    <t>MID - Returns a specific number of characters from a text string</t>
  </si>
  <si>
    <t>starting at the position you specify</t>
  </si>
  <si>
    <t>2015 
Budget</t>
  </si>
  <si>
    <t>PERCENTILERANK - Returns the rank of the k-th percentile of values in a range</t>
  </si>
  <si>
    <t>DCountA</t>
  </si>
  <si>
    <t>You could also use an If Statement like this one:</t>
  </si>
  <si>
    <t>ADDRESS (220) - Returns a reference as text to a single cell in a worksheet</t>
  </si>
  <si>
    <t>Location of Townhome Revenue</t>
  </si>
  <si>
    <t>AGGREGATE (244) - Returns an aggregate in a list or database</t>
  </si>
  <si>
    <t>FORECAST (352) - Returns a value along a linear trend</t>
  </si>
  <si>
    <t>GROWTH (361) - Returns values along an exponential trend</t>
  </si>
  <si>
    <t>LARGE (366) - Returns the k-th largest value in a data set</t>
  </si>
  <si>
    <t>2nd Highest</t>
  </si>
  <si>
    <t>Highest</t>
  </si>
  <si>
    <t>3rd Highest</t>
  </si>
  <si>
    <t>4th Highest</t>
  </si>
  <si>
    <t>5th Highest</t>
  </si>
  <si>
    <t>NOT (216) - Reverses the logic of its argument</t>
  </si>
  <si>
    <t>Class Average</t>
  </si>
  <si>
    <t>Higher Than Class Average?</t>
  </si>
  <si>
    <t>Stan</t>
  </si>
  <si>
    <t>Jean</t>
  </si>
  <si>
    <t>Nancy</t>
  </si>
  <si>
    <t>Bob</t>
  </si>
  <si>
    <t>Sarah</t>
  </si>
  <si>
    <t>Conner</t>
  </si>
  <si>
    <t>Steven</t>
  </si>
  <si>
    <t>Craig</t>
  </si>
  <si>
    <t>Hugh</t>
  </si>
  <si>
    <t>Total Sales</t>
  </si>
  <si>
    <t>Explanation for one of the OFFSET Formulas Used Above</t>
  </si>
  <si>
    <t>PEARSON (383) - Returns the Pearson product moment correlation coefficient</t>
  </si>
  <si>
    <t>Pearson Score</t>
  </si>
  <si>
    <t xml:space="preserve">http://office.microsoft.com/en-us/excel-help/pearson-HP005209210.aspx </t>
  </si>
  <si>
    <r>
      <t>It was developed by</t>
    </r>
    <r>
      <rPr>
        <b/>
        <sz val="11"/>
        <color theme="1"/>
        <rFont val="Calibri"/>
        <family val="2"/>
        <scheme val="minor"/>
      </rPr>
      <t xml:space="preserve"> Karl Pearson</t>
    </r>
    <r>
      <rPr>
        <sz val="11"/>
        <color theme="1"/>
        <rFont val="Calibri"/>
        <family val="2"/>
        <scheme val="minor"/>
      </rPr>
      <t xml:space="preserve"> from a related idea introduced by Francis Galton in the 1880s.</t>
    </r>
  </si>
  <si>
    <t>Related Functions</t>
  </si>
  <si>
    <t>PV (176) - Returns the present value of an investment</t>
  </si>
  <si>
    <t>Data</t>
  </si>
  <si>
    <t>Money paid out of an insurance annuity at the end of every month.</t>
  </si>
  <si>
    <t>Interest rate earned on the money paid out.</t>
  </si>
  <si>
    <t>Years the money will be paid out.</t>
  </si>
  <si>
    <t>Formula</t>
  </si>
  <si>
    <t>Present value of an annuity with the terms in A2:A4.</t>
  </si>
  <si>
    <t>Purchases - Manuals</t>
  </si>
  <si>
    <t>Printing and Reproduction</t>
  </si>
  <si>
    <t>Postage and Delivery</t>
  </si>
  <si>
    <t>Dues and Subscriptions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</si>
</sst>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h]:mm;@"/>
    <numFmt numFmtId="166" formatCode="&quot;$&quot;#,##0.00"/>
    <numFmt numFmtId="167" formatCode="0.0%"/>
    <numFmt numFmtId="168" formatCode="_(* #,##0.0_);_(* \(#,##0.0\);_(* &quot;-&quot;??_);_(@_)"/>
    <numFmt numFmtId="169" formatCode="[$-F400]h:mm:ss\ AM/PM"/>
    <numFmt numFmtId="170" formatCode="##.\ "/>
    <numFmt numFmtId="171" formatCode="[$-409]mmm\-yy;@"/>
  </numFmts>
  <fonts count="119" x14ac:knownFonts="1">
    <font>
      <sz val="11"/>
      <color theme="1"/>
      <name val="Calibri"/>
      <family val="2"/>
      <scheme val="minor"/>
    </font>
    <font>
      <sz val="12"/>
      <color theme="1"/>
      <name val="Calibri"/>
      <family val="2"/>
    </font>
    <font>
      <sz val="12"/>
      <color theme="1"/>
      <name val="Calibri"/>
      <family val="2"/>
      <scheme val="minor"/>
    </font>
    <font>
      <sz val="11"/>
      <color indexed="8"/>
      <name val="Calibri"/>
      <family val="2"/>
    </font>
    <font>
      <sz val="11"/>
      <color indexed="8"/>
      <name val="Calibri"/>
      <family val="2"/>
    </font>
    <font>
      <b/>
      <sz val="15"/>
      <color indexed="56"/>
      <name val="Calibri"/>
      <family val="2"/>
    </font>
    <font>
      <sz val="11"/>
      <name val="Calibri"/>
      <family val="2"/>
    </font>
    <font>
      <b/>
      <sz val="11"/>
      <color indexed="8"/>
      <name val="Calibri"/>
      <family val="2"/>
    </font>
    <font>
      <b/>
      <i/>
      <sz val="18"/>
      <color indexed="56"/>
      <name val="Cambria"/>
      <family val="1"/>
    </font>
    <font>
      <b/>
      <i/>
      <vertAlign val="subscript"/>
      <sz val="18"/>
      <color indexed="56"/>
      <name val="Cambria"/>
      <family val="1"/>
    </font>
    <font>
      <u/>
      <sz val="11"/>
      <color indexed="8"/>
      <name val="Calibri"/>
      <family val="2"/>
    </font>
    <font>
      <b/>
      <i/>
      <sz val="15"/>
      <color indexed="56"/>
      <name val="Calibri"/>
      <family val="2"/>
    </font>
    <font>
      <sz val="11"/>
      <name val="Calibri"/>
      <family val="2"/>
    </font>
    <font>
      <b/>
      <sz val="9"/>
      <color indexed="81"/>
      <name val="Tahoma"/>
      <family val="2"/>
    </font>
    <font>
      <sz val="9"/>
      <color indexed="81"/>
      <name val="Tahoma"/>
      <family val="2"/>
    </font>
    <font>
      <sz val="8"/>
      <color indexed="8"/>
      <name val="Calibri"/>
      <family val="2"/>
    </font>
    <font>
      <sz val="11"/>
      <color theme="1"/>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8"/>
      <color theme="3"/>
      <name val="Cambria"/>
      <family val="2"/>
      <scheme val="major"/>
    </font>
    <font>
      <b/>
      <sz val="11"/>
      <color theme="1"/>
      <name val="Calibri"/>
      <family val="2"/>
      <scheme val="minor"/>
    </font>
    <font>
      <sz val="10"/>
      <color theme="1"/>
      <name val="Calibri"/>
      <family val="2"/>
      <scheme val="minor"/>
    </font>
    <font>
      <b/>
      <sz val="16"/>
      <color theme="1"/>
      <name val="Calibri"/>
      <family val="2"/>
      <scheme val="minor"/>
    </font>
    <font>
      <b/>
      <sz val="18"/>
      <color theme="1"/>
      <name val="Calibri"/>
      <family val="2"/>
      <scheme val="minor"/>
    </font>
    <font>
      <u/>
      <sz val="11"/>
      <color theme="10"/>
      <name val="Calibri"/>
      <family val="2"/>
    </font>
    <font>
      <b/>
      <sz val="12"/>
      <color theme="1"/>
      <name val="Calibri"/>
      <family val="2"/>
      <scheme val="minor"/>
    </font>
    <font>
      <b/>
      <sz val="15"/>
      <name val="Calibri"/>
      <family val="2"/>
      <scheme val="minor"/>
    </font>
    <font>
      <sz val="11"/>
      <name val="Calibri"/>
      <family val="2"/>
      <scheme val="minor"/>
    </font>
    <font>
      <b/>
      <sz val="11"/>
      <name val="Calibri"/>
      <family val="2"/>
      <scheme val="minor"/>
    </font>
    <font>
      <b/>
      <sz val="12"/>
      <color theme="0"/>
      <name val="Calibri"/>
      <family val="2"/>
      <scheme val="minor"/>
    </font>
    <font>
      <sz val="12"/>
      <color theme="0"/>
      <name val="Calibri"/>
      <family val="2"/>
      <scheme val="minor"/>
    </font>
    <font>
      <b/>
      <sz val="14"/>
      <color theme="1"/>
      <name val="Calibri"/>
      <family val="2"/>
      <scheme val="minor"/>
    </font>
    <font>
      <b/>
      <u/>
      <sz val="11"/>
      <color theme="1"/>
      <name val="Calibri"/>
      <family val="2"/>
      <scheme val="minor"/>
    </font>
    <font>
      <b/>
      <sz val="24"/>
      <name val="Arial"/>
      <family val="2"/>
    </font>
    <font>
      <b/>
      <sz val="10"/>
      <name val="Arial"/>
      <family val="2"/>
    </font>
    <font>
      <b/>
      <sz val="12"/>
      <name val="Arial"/>
      <family val="2"/>
    </font>
    <font>
      <sz val="12"/>
      <name val="Arial"/>
      <family val="2"/>
    </font>
    <font>
      <sz val="10"/>
      <name val="Arial"/>
      <family val="2"/>
    </font>
    <font>
      <b/>
      <sz val="8.25"/>
      <color indexed="8"/>
      <name val="Arial"/>
      <family val="2"/>
    </font>
    <font>
      <b/>
      <sz val="12"/>
      <color indexed="8"/>
      <name val="Arial"/>
      <family val="2"/>
    </font>
    <font>
      <sz val="8.25"/>
      <color indexed="8"/>
      <name val="Arial"/>
      <family val="2"/>
    </font>
    <font>
      <b/>
      <sz val="20"/>
      <name val="Arial"/>
      <family val="2"/>
    </font>
    <font>
      <b/>
      <sz val="20"/>
      <name val="Calibri"/>
      <family val="2"/>
    </font>
    <font>
      <b/>
      <sz val="24"/>
      <name val="Calibri"/>
      <family val="2"/>
    </font>
    <font>
      <b/>
      <sz val="12"/>
      <name val="Calibri"/>
      <family val="2"/>
    </font>
    <font>
      <sz val="12"/>
      <name val="Calibri"/>
      <family val="2"/>
    </font>
    <font>
      <b/>
      <sz val="12"/>
      <color indexed="8"/>
      <name val="Calibri"/>
      <family val="2"/>
    </font>
    <font>
      <b/>
      <u val="singleAccounting"/>
      <sz val="12"/>
      <color indexed="8"/>
      <name val="Calibri"/>
      <family val="2"/>
    </font>
    <font>
      <b/>
      <u val="doubleAccounting"/>
      <sz val="12"/>
      <color indexed="8"/>
      <name val="Calibri"/>
      <family val="2"/>
    </font>
    <font>
      <sz val="11"/>
      <color theme="1"/>
      <name val="Calibri"/>
      <family val="2"/>
    </font>
    <font>
      <sz val="10"/>
      <name val="Calibri"/>
      <family val="2"/>
    </font>
    <font>
      <sz val="12"/>
      <color theme="1"/>
      <name val="Calibri"/>
      <family val="2"/>
    </font>
    <font>
      <sz val="12"/>
      <color theme="0"/>
      <name val="Calibri"/>
      <family val="2"/>
    </font>
    <font>
      <b/>
      <sz val="12"/>
      <color theme="0"/>
      <name val="Calibri"/>
      <family val="2"/>
    </font>
    <font>
      <sz val="11"/>
      <color theme="0" tint="-0.249977111117893"/>
      <name val="Calibri"/>
      <family val="2"/>
      <scheme val="minor"/>
    </font>
    <font>
      <sz val="11"/>
      <color rgb="FFFF0000"/>
      <name val="Calibri"/>
      <family val="2"/>
      <scheme val="minor"/>
    </font>
    <font>
      <b/>
      <sz val="11"/>
      <color rgb="FFFF0000"/>
      <name val="Calibri"/>
      <family val="2"/>
      <scheme val="minor"/>
    </font>
    <font>
      <b/>
      <sz val="12"/>
      <color theme="1"/>
      <name val="Calibri"/>
      <family val="2"/>
    </font>
    <font>
      <sz val="12"/>
      <color indexed="8"/>
      <name val="Calibri"/>
      <family val="2"/>
    </font>
    <font>
      <u val="singleAccounting"/>
      <sz val="12"/>
      <color indexed="8"/>
      <name val="Calibri"/>
      <family val="2"/>
    </font>
    <font>
      <u val="doubleAccounting"/>
      <sz val="12"/>
      <color indexed="8"/>
      <name val="Calibri"/>
      <family val="2"/>
    </font>
    <font>
      <b/>
      <sz val="14"/>
      <name val="Calibri"/>
      <family val="2"/>
    </font>
    <font>
      <sz val="12"/>
      <color rgb="FF000000"/>
      <name val="Calibri"/>
      <family val="2"/>
      <scheme val="minor"/>
    </font>
    <font>
      <b/>
      <u/>
      <sz val="12"/>
      <color theme="1"/>
      <name val="Calibri"/>
      <family val="2"/>
      <scheme val="minor"/>
    </font>
    <font>
      <sz val="12"/>
      <color indexed="8"/>
      <name val="Arial"/>
      <family val="2"/>
    </font>
    <font>
      <sz val="14"/>
      <color theme="1"/>
      <name val="Calibri"/>
      <family val="2"/>
      <scheme val="minor"/>
    </font>
    <font>
      <b/>
      <sz val="16"/>
      <color theme="0"/>
      <name val="Calibri"/>
      <family val="2"/>
      <scheme val="minor"/>
    </font>
    <font>
      <sz val="18"/>
      <color theme="1"/>
      <name val="Calibri"/>
      <family val="2"/>
      <scheme val="minor"/>
    </font>
    <font>
      <b/>
      <sz val="12"/>
      <name val="Calibri"/>
      <family val="2"/>
      <scheme val="minor"/>
    </font>
    <font>
      <sz val="11"/>
      <color theme="1"/>
      <name val="Arial"/>
      <family val="2"/>
    </font>
    <font>
      <b/>
      <i/>
      <sz val="18"/>
      <color rgb="FFFF0000"/>
      <name val="Calibri"/>
      <family val="2"/>
      <scheme val="minor"/>
    </font>
    <font>
      <sz val="12"/>
      <color rgb="FF000000"/>
      <name val="Georgia"/>
      <family val="1"/>
    </font>
    <font>
      <sz val="12"/>
      <name val="Calibri"/>
      <family val="2"/>
      <scheme val="minor"/>
    </font>
    <font>
      <sz val="12"/>
      <name val="Arial Unicode MS"/>
      <family val="2"/>
    </font>
    <font>
      <b/>
      <sz val="12"/>
      <color rgb="FFFF0000"/>
      <name val="Calibri"/>
      <family val="2"/>
      <scheme val="minor"/>
    </font>
    <font>
      <b/>
      <sz val="14"/>
      <color indexed="22"/>
      <name val="Arial"/>
      <family val="2"/>
    </font>
    <font>
      <b/>
      <sz val="16"/>
      <color theme="0"/>
      <name val="Arial"/>
      <family val="2"/>
    </font>
    <font>
      <b/>
      <sz val="10"/>
      <color indexed="55"/>
      <name val="Arial"/>
      <family val="2"/>
    </font>
    <font>
      <u val="singleAccounting"/>
      <sz val="12"/>
      <color indexed="8"/>
      <name val="Arial"/>
      <family val="2"/>
    </font>
    <font>
      <u val="doubleAccounting"/>
      <sz val="12"/>
      <color indexed="8"/>
      <name val="Arial"/>
      <family val="2"/>
    </font>
    <font>
      <b/>
      <sz val="14"/>
      <name val="Arial"/>
      <family val="2"/>
    </font>
    <font>
      <sz val="14"/>
      <name val="Arial"/>
      <family val="2"/>
    </font>
    <font>
      <b/>
      <u val="doubleAccounting"/>
      <sz val="12"/>
      <color theme="1"/>
      <name val="Calibri"/>
      <family val="2"/>
      <scheme val="minor"/>
    </font>
    <font>
      <b/>
      <u val="double"/>
      <sz val="12"/>
      <color theme="1"/>
      <name val="Calibri"/>
      <family val="2"/>
      <scheme val="minor"/>
    </font>
    <font>
      <b/>
      <sz val="14"/>
      <color indexed="10"/>
      <name val="Calibri"/>
      <family val="2"/>
    </font>
    <font>
      <b/>
      <sz val="11"/>
      <color rgb="FFFFFFFF"/>
      <name val="Arial"/>
      <family val="2"/>
    </font>
    <font>
      <b/>
      <sz val="11"/>
      <color theme="1"/>
      <name val="Arial"/>
      <family val="2"/>
    </font>
    <font>
      <b/>
      <sz val="11"/>
      <color theme="1"/>
      <name val="Calibri"/>
      <family val="2"/>
    </font>
    <font>
      <b/>
      <sz val="20"/>
      <color theme="1"/>
      <name val="Calibri"/>
      <family val="2"/>
      <scheme val="minor"/>
    </font>
    <font>
      <b/>
      <u/>
      <sz val="11"/>
      <color theme="10"/>
      <name val="Calibri"/>
      <family val="2"/>
    </font>
    <font>
      <b/>
      <i/>
      <sz val="9"/>
      <color indexed="9"/>
      <name val="Arial"/>
      <family val="2"/>
    </font>
    <font>
      <sz val="10"/>
      <color indexed="18"/>
      <name val="Arial"/>
      <family val="2"/>
    </font>
    <font>
      <b/>
      <sz val="12"/>
      <color indexed="8"/>
      <name val="Calibri"/>
      <family val="2"/>
      <scheme val="minor"/>
    </font>
    <font>
      <sz val="12"/>
      <color indexed="8"/>
      <name val="Calibri"/>
      <family val="2"/>
      <scheme val="minor"/>
    </font>
    <font>
      <sz val="9"/>
      <color theme="1"/>
      <name val="Arial"/>
      <family val="2"/>
    </font>
    <font>
      <b/>
      <sz val="9"/>
      <color theme="1"/>
      <name val="Arial"/>
      <family val="2"/>
    </font>
    <font>
      <i/>
      <sz val="9"/>
      <color theme="1"/>
      <name val="Arial"/>
      <family val="2"/>
    </font>
    <font>
      <b/>
      <sz val="12"/>
      <color theme="0" tint="-0.249977111117893"/>
      <name val="Calibri"/>
      <family val="2"/>
    </font>
    <font>
      <sz val="12"/>
      <color theme="0" tint="-0.249977111117893"/>
      <name val="Calibri"/>
      <family val="2"/>
      <scheme val="minor"/>
    </font>
    <font>
      <sz val="11"/>
      <color theme="0" tint="-0.249977111117893"/>
      <name val="Calibri"/>
      <family val="2"/>
    </font>
    <font>
      <sz val="12"/>
      <color theme="0" tint="-0.249977111117893"/>
      <name val="Calibri"/>
      <family val="2"/>
    </font>
    <font>
      <u/>
      <sz val="14"/>
      <color theme="10"/>
      <name val="Calibri"/>
      <family val="2"/>
    </font>
    <font>
      <u/>
      <sz val="12"/>
      <color theme="10"/>
      <name val="Calibri"/>
      <family val="2"/>
    </font>
    <font>
      <sz val="10"/>
      <color theme="1"/>
      <name val="Calibri"/>
      <family val="2"/>
    </font>
    <font>
      <sz val="12"/>
      <color rgb="FF333333"/>
      <name val="Calibri"/>
      <family val="2"/>
      <scheme val="minor"/>
    </font>
    <font>
      <i/>
      <sz val="12"/>
      <color theme="1"/>
      <name val="Calibri"/>
      <family val="2"/>
    </font>
    <font>
      <u/>
      <sz val="12"/>
      <color theme="10"/>
      <name val="Calibri"/>
      <family val="2"/>
      <scheme val="minor"/>
    </font>
    <font>
      <sz val="12"/>
      <color rgb="FF444444"/>
      <name val="Calibri"/>
      <family val="2"/>
      <scheme val="minor"/>
    </font>
    <font>
      <b/>
      <u/>
      <sz val="12"/>
      <color rgb="FFFF0000"/>
      <name val="Calibri"/>
      <family val="2"/>
      <scheme val="minor"/>
    </font>
    <font>
      <sz val="12"/>
      <color rgb="FF0044CC"/>
      <name val="Calibri"/>
      <family val="2"/>
      <scheme val="minor"/>
    </font>
    <font>
      <i/>
      <sz val="12"/>
      <color rgb="FF444444"/>
      <name val="Calibri"/>
      <family val="2"/>
      <scheme val="minor"/>
    </font>
    <font>
      <sz val="12"/>
      <color rgb="FF666666"/>
      <name val="Calibri"/>
      <family val="2"/>
      <scheme val="minor"/>
    </font>
    <font>
      <b/>
      <i/>
      <sz val="12"/>
      <color theme="1"/>
      <name val="Calibri"/>
      <family val="2"/>
    </font>
    <font>
      <i/>
      <sz val="10"/>
      <color theme="1"/>
      <name val="Calibri"/>
      <family val="2"/>
    </font>
    <font>
      <b/>
      <sz val="10"/>
      <color theme="1"/>
      <name val="Calibri"/>
      <family val="2"/>
    </font>
    <font>
      <sz val="8"/>
      <color theme="1"/>
      <name val="Calibri"/>
      <family val="2"/>
      <scheme val="minor"/>
    </font>
    <font>
      <sz val="16"/>
      <color theme="1"/>
      <name val="Calibri"/>
      <family val="2"/>
      <scheme val="minor"/>
    </font>
  </fonts>
  <fills count="23">
    <fill>
      <patternFill patternType="none"/>
    </fill>
    <fill>
      <patternFill patternType="gray125"/>
    </fill>
    <fill>
      <patternFill patternType="solid">
        <fgColor indexed="31"/>
      </patternFill>
    </fill>
    <fill>
      <patternFill patternType="solid">
        <fgColor indexed="56"/>
        <bgColor indexed="64"/>
      </patternFill>
    </fill>
    <fill>
      <patternFill patternType="solid">
        <fgColor theme="4" tint="0.79998168889431442"/>
        <bgColor indexed="65"/>
      </patternFill>
    </fill>
    <fill>
      <patternFill patternType="solid">
        <fgColor theme="4"/>
      </patternFill>
    </fill>
    <fill>
      <patternFill patternType="solid">
        <fgColor rgb="FF6B82B2"/>
        <bgColor indexed="64"/>
      </patternFill>
    </fill>
    <fill>
      <patternFill patternType="solid">
        <fgColor rgb="FFFFFFCC"/>
        <bgColor indexed="64"/>
      </patternFill>
    </fill>
    <fill>
      <patternFill patternType="solid">
        <fgColor rgb="FFCCECFF"/>
        <bgColor indexed="64"/>
      </patternFill>
    </fill>
    <fill>
      <patternFill patternType="solid">
        <fgColor rgb="FFFFCCCC"/>
        <bgColor indexed="64"/>
      </patternFill>
    </fill>
    <fill>
      <patternFill patternType="solid">
        <fgColor rgb="FFCCFFFF"/>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FFFF"/>
        <bgColor indexed="64"/>
      </patternFill>
    </fill>
    <fill>
      <patternFill patternType="solid">
        <fgColor theme="1"/>
        <bgColor indexed="64"/>
      </patternFill>
    </fill>
    <fill>
      <patternFill patternType="solid">
        <fgColor indexed="42"/>
        <bgColor indexed="64"/>
      </patternFill>
    </fill>
    <fill>
      <patternFill patternType="solid">
        <fgColor rgb="FFF2F2F2"/>
        <bgColor indexed="64"/>
      </patternFill>
    </fill>
    <fill>
      <patternFill patternType="solid">
        <fgColor indexed="18"/>
        <bgColor indexed="24"/>
      </patternFill>
    </fill>
    <fill>
      <patternFill patternType="solid">
        <fgColor indexed="22"/>
        <bgColor indexed="24"/>
      </patternFill>
    </fill>
    <fill>
      <patternFill patternType="solid">
        <fgColor indexed="9"/>
        <bgColor indexed="24"/>
      </patternFill>
    </fill>
    <fill>
      <patternFill patternType="solid">
        <fgColor theme="3"/>
        <bgColor indexed="64"/>
      </patternFill>
    </fill>
    <fill>
      <patternFill patternType="solid">
        <fgColor rgb="FFE7E7E7"/>
        <bgColor indexed="64"/>
      </patternFill>
    </fill>
  </fills>
  <borders count="47">
    <border>
      <left/>
      <right/>
      <top/>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style="medium">
        <color indexed="30"/>
      </top>
      <bottom/>
      <diagonal/>
    </border>
    <border>
      <left/>
      <right style="thick">
        <color indexed="56"/>
      </right>
      <top/>
      <bottom/>
      <diagonal/>
    </border>
    <border>
      <left style="thin">
        <color indexed="56"/>
      </left>
      <right style="thin">
        <color indexed="56"/>
      </right>
      <top style="thin">
        <color indexed="56"/>
      </top>
      <bottom style="thin">
        <color indexed="56"/>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theme="4"/>
      </top>
      <bottom style="double">
        <color theme="4"/>
      </bottom>
      <diagonal/>
    </border>
    <border>
      <left/>
      <right/>
      <top style="thin">
        <color indexed="64"/>
      </top>
      <bottom style="double">
        <color indexed="64"/>
      </bottom>
      <diagonal/>
    </border>
    <border>
      <left/>
      <right/>
      <top/>
      <bottom style="medium">
        <color indexed="64"/>
      </bottom>
      <diagonal/>
    </border>
    <border>
      <left/>
      <right/>
      <top style="thin">
        <color indexed="8"/>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78B096"/>
      </left>
      <right style="thin">
        <color rgb="FF78B096"/>
      </right>
      <top style="thin">
        <color rgb="FF78B096"/>
      </top>
      <bottom style="thin">
        <color rgb="FF78B096"/>
      </bottom>
      <diagonal/>
    </border>
    <border>
      <left style="thin">
        <color rgb="FF78B096"/>
      </left>
      <right/>
      <top style="thin">
        <color rgb="FF78B096"/>
      </top>
      <bottom/>
      <diagonal/>
    </border>
    <border>
      <left/>
      <right/>
      <top style="thin">
        <color rgb="FF78B096"/>
      </top>
      <bottom/>
      <diagonal/>
    </border>
    <border>
      <left/>
      <right style="thin">
        <color rgb="FF78B096"/>
      </right>
      <top style="thin">
        <color rgb="FF78B096"/>
      </top>
      <bottom/>
      <diagonal/>
    </border>
    <border>
      <left style="thin">
        <color rgb="FF78B096"/>
      </left>
      <right/>
      <top/>
      <bottom style="thin">
        <color rgb="FF78B096"/>
      </bottom>
      <diagonal/>
    </border>
    <border>
      <left/>
      <right/>
      <top/>
      <bottom style="thin">
        <color rgb="FF78B096"/>
      </bottom>
      <diagonal/>
    </border>
    <border>
      <left/>
      <right style="thin">
        <color rgb="FF78B096"/>
      </right>
      <top/>
      <bottom style="thin">
        <color rgb="FF78B096"/>
      </bottom>
      <diagonal/>
    </border>
    <border>
      <left style="thin">
        <color rgb="FF78B096"/>
      </left>
      <right/>
      <top style="thin">
        <color rgb="FF78B096"/>
      </top>
      <bottom style="thin">
        <color rgb="FF78B096"/>
      </bottom>
      <diagonal/>
    </border>
    <border>
      <left/>
      <right style="thin">
        <color rgb="FF78B096"/>
      </right>
      <top style="thin">
        <color rgb="FF78B096"/>
      </top>
      <bottom style="thin">
        <color rgb="FF78B096"/>
      </bottom>
      <diagonal/>
    </border>
  </borders>
  <cellStyleXfs count="23">
    <xf numFmtId="0" fontId="0" fillId="0" borderId="0"/>
    <xf numFmtId="0" fontId="36" fillId="0" borderId="0" applyNumberFormat="0" applyFill="0" applyBorder="0" applyAlignment="0" applyProtection="0"/>
    <xf numFmtId="0" fontId="16" fillId="4" borderId="0" applyNumberFormat="0" applyBorder="0" applyAlignment="0" applyProtection="0"/>
    <xf numFmtId="0" fontId="3" fillId="2" borderId="0" applyNumberFormat="0" applyBorder="0" applyAlignment="0" applyProtection="0"/>
    <xf numFmtId="0" fontId="17" fillId="5" borderId="0" applyNumberFormat="0" applyBorder="0" applyAlignment="0" applyProtection="0"/>
    <xf numFmtId="43" fontId="4" fillId="0" borderId="0" applyFont="0" applyFill="0" applyBorder="0" applyAlignment="0" applyProtection="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9" fontId="4" fillId="0" borderId="0" applyFon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alignment vertical="top"/>
      <protection locked="0"/>
    </xf>
    <xf numFmtId="44" fontId="16" fillId="0" borderId="0" applyFont="0" applyFill="0" applyBorder="0" applyAlignment="0" applyProtection="0"/>
    <xf numFmtId="0" fontId="27" fillId="0" borderId="22" applyNumberFormat="0" applyFill="0" applyAlignment="0" applyProtection="0"/>
    <xf numFmtId="49" fontId="39" fillId="0" borderId="0" applyFont="0" applyFill="0" applyBorder="0" applyAlignment="0" applyProtection="0"/>
    <xf numFmtId="0" fontId="40" fillId="0" borderId="0" applyNumberFormat="0" applyFill="0" applyBorder="0" applyProtection="0">
      <alignment horizontal="left"/>
    </xf>
    <xf numFmtId="0" fontId="40" fillId="0" borderId="0" applyNumberFormat="0" applyFill="0" applyBorder="0" applyAlignment="0" applyProtection="0"/>
    <xf numFmtId="0" fontId="42" fillId="0" borderId="0" applyNumberFormat="0" applyFill="0" applyBorder="0" applyAlignment="0" applyProtection="0"/>
    <xf numFmtId="0" fontId="40" fillId="0" borderId="25" applyNumberFormat="0" applyFill="0" applyAlignment="0" applyProtection="0"/>
    <xf numFmtId="0" fontId="40" fillId="0" borderId="25" applyNumberFormat="0" applyFill="0" applyAlignment="0" applyProtection="0"/>
    <xf numFmtId="0" fontId="40" fillId="0" borderId="25" applyNumberFormat="0" applyFill="0" applyAlignment="0" applyProtection="0"/>
    <xf numFmtId="49" fontId="77" fillId="0" borderId="0" applyFill="0" applyBorder="0" applyProtection="0">
      <alignment horizontal="left"/>
    </xf>
    <xf numFmtId="49" fontId="79" fillId="0" borderId="0" applyFill="0" applyBorder="0" applyProtection="0">
      <alignment horizontal="left"/>
    </xf>
  </cellStyleXfs>
  <cellXfs count="737">
    <xf numFmtId="0" fontId="0" fillId="0" borderId="0" xfId="0"/>
    <xf numFmtId="0" fontId="31" fillId="21" borderId="0" xfId="0" applyFont="1" applyFill="1" applyAlignment="1">
      <alignment horizontal="center"/>
    </xf>
    <xf numFmtId="0" fontId="21" fillId="0" borderId="0" xfId="10" applyProtection="1">
      <protection locked="0"/>
    </xf>
    <xf numFmtId="0" fontId="0" fillId="0" borderId="0" xfId="0" applyProtection="1">
      <protection locked="0"/>
    </xf>
    <xf numFmtId="0" fontId="0" fillId="0" borderId="0" xfId="0" quotePrefix="1" applyProtection="1">
      <protection locked="0"/>
    </xf>
    <xf numFmtId="0" fontId="0" fillId="0" borderId="0" xfId="0" applyAlignment="1" applyProtection="1">
      <alignment horizontal="left" indent="1"/>
      <protection locked="0"/>
    </xf>
    <xf numFmtId="0" fontId="19" fillId="0" borderId="9" xfId="7" applyProtection="1">
      <protection locked="0"/>
    </xf>
    <xf numFmtId="0" fontId="19" fillId="0" borderId="9" xfId="7" applyFill="1" applyProtection="1">
      <protection locked="0"/>
    </xf>
    <xf numFmtId="0" fontId="16" fillId="4" borderId="0" xfId="2" applyFont="1" applyProtection="1">
      <protection locked="0"/>
    </xf>
    <xf numFmtId="0" fontId="6" fillId="4" borderId="0" xfId="2" applyFont="1" applyProtection="1">
      <protection locked="0"/>
    </xf>
    <xf numFmtId="0" fontId="16" fillId="4" borderId="0" xfId="2" applyProtection="1">
      <protection locked="0"/>
    </xf>
    <xf numFmtId="18" fontId="0" fillId="0" borderId="0" xfId="0" applyNumberFormat="1" applyProtection="1">
      <protection locked="0"/>
    </xf>
    <xf numFmtId="165" fontId="0" fillId="0" borderId="0" xfId="0" applyNumberFormat="1" applyProtection="1">
      <protection locked="0"/>
    </xf>
    <xf numFmtId="14" fontId="0" fillId="0" borderId="0" xfId="0" applyNumberFormat="1" applyProtection="1">
      <protection locked="0"/>
    </xf>
    <xf numFmtId="20" fontId="0" fillId="0" borderId="0" xfId="0" applyNumberFormat="1" applyProtection="1">
      <protection locked="0"/>
    </xf>
    <xf numFmtId="14" fontId="19" fillId="0" borderId="9" xfId="7" applyNumberFormat="1" applyProtection="1">
      <protection locked="0"/>
    </xf>
    <xf numFmtId="0" fontId="19" fillId="0" borderId="9" xfId="7" applyAlignment="1" applyProtection="1">
      <alignment horizontal="left" indent="1"/>
      <protection locked="0"/>
    </xf>
    <xf numFmtId="19" fontId="0" fillId="0" borderId="0" xfId="0" applyNumberFormat="1" applyProtection="1">
      <protection locked="0"/>
    </xf>
    <xf numFmtId="0" fontId="16" fillId="4" borderId="0" xfId="2" applyAlignment="1" applyProtection="1">
      <alignment horizontal="left" indent="1"/>
      <protection locked="0"/>
    </xf>
    <xf numFmtId="0" fontId="0" fillId="0" borderId="0" xfId="0" quotePrefix="1" applyAlignment="1" applyProtection="1">
      <alignment horizontal="left"/>
      <protection locked="0"/>
    </xf>
    <xf numFmtId="14" fontId="16" fillId="4" borderId="0" xfId="2" applyNumberFormat="1" applyFont="1" applyProtection="1">
      <protection locked="0"/>
    </xf>
    <xf numFmtId="0" fontId="0" fillId="0" borderId="0" xfId="0" applyNumberFormat="1" applyProtection="1">
      <protection locked="0"/>
    </xf>
    <xf numFmtId="14" fontId="0" fillId="0" borderId="0" xfId="0" applyNumberFormat="1" applyAlignment="1" applyProtection="1">
      <alignment vertical="top"/>
      <protection locked="0"/>
    </xf>
    <xf numFmtId="0" fontId="0" fillId="0" borderId="0" xfId="0" applyAlignment="1" applyProtection="1">
      <alignment vertical="top"/>
      <protection locked="0"/>
    </xf>
    <xf numFmtId="0" fontId="0" fillId="0" borderId="0" xfId="0" applyAlignment="1" applyProtection="1">
      <alignment horizontal="left" vertical="top" indent="1"/>
      <protection locked="0"/>
    </xf>
    <xf numFmtId="0" fontId="0" fillId="0" borderId="0" xfId="0" quotePrefix="1" applyAlignment="1" applyProtection="1">
      <alignment vertical="top"/>
      <protection locked="0"/>
    </xf>
    <xf numFmtId="0" fontId="0" fillId="0" borderId="0" xfId="0" applyAlignment="1" applyProtection="1">
      <alignment horizontal="left" wrapText="1" indent="1"/>
      <protection locked="0"/>
    </xf>
    <xf numFmtId="22" fontId="0" fillId="0" borderId="0" xfId="0" applyNumberFormat="1" applyProtection="1">
      <protection locked="0"/>
    </xf>
    <xf numFmtId="0" fontId="23" fillId="6" borderId="0" xfId="0" applyFont="1" applyFill="1" applyAlignment="1" applyProtection="1">
      <alignment wrapText="1"/>
      <protection locked="0"/>
    </xf>
    <xf numFmtId="0" fontId="26" fillId="0" borderId="0" xfId="11" applyAlignment="1" applyProtection="1">
      <alignment vertical="top" wrapText="1"/>
      <protection locked="0"/>
    </xf>
    <xf numFmtId="0" fontId="23" fillId="0" borderId="0" xfId="0" applyFont="1" applyAlignment="1" applyProtection="1">
      <alignment vertical="top" wrapText="1"/>
      <protection locked="0"/>
    </xf>
    <xf numFmtId="0" fontId="23" fillId="0" borderId="0" xfId="0" applyFont="1" applyProtection="1">
      <protection locked="0"/>
    </xf>
    <xf numFmtId="0" fontId="24" fillId="0" borderId="0" xfId="0" applyFont="1" applyProtection="1">
      <protection locked="0"/>
    </xf>
    <xf numFmtId="0" fontId="25" fillId="0" borderId="0" xfId="0" applyFont="1" applyProtection="1">
      <protection locked="0"/>
    </xf>
    <xf numFmtId="0" fontId="20" fillId="0" borderId="10" xfId="8" applyProtection="1">
      <protection locked="0"/>
    </xf>
    <xf numFmtId="0" fontId="16" fillId="4" borderId="0" xfId="2" quotePrefix="1" applyProtection="1">
      <protection locked="0"/>
    </xf>
    <xf numFmtId="166" fontId="0" fillId="0" borderId="0" xfId="0" applyNumberFormat="1" applyProtection="1">
      <protection locked="0"/>
    </xf>
    <xf numFmtId="166" fontId="16" fillId="4" borderId="0" xfId="2" applyNumberFormat="1" applyProtection="1">
      <protection locked="0"/>
    </xf>
    <xf numFmtId="0" fontId="20" fillId="0" borderId="10" xfId="8" applyAlignment="1" applyProtection="1">
      <alignment vertical="top"/>
      <protection locked="0"/>
    </xf>
    <xf numFmtId="0" fontId="20" fillId="0" borderId="10" xfId="8" applyAlignment="1" applyProtection="1">
      <alignment horizontal="right" vertical="top"/>
      <protection locked="0"/>
    </xf>
    <xf numFmtId="0" fontId="16" fillId="4" borderId="0" xfId="2" applyFont="1" applyAlignment="1" applyProtection="1">
      <alignment vertical="top"/>
      <protection locked="0"/>
    </xf>
    <xf numFmtId="0" fontId="16" fillId="4" borderId="0" xfId="2" applyAlignment="1" applyProtection="1">
      <alignment vertical="top"/>
      <protection locked="0"/>
    </xf>
    <xf numFmtId="43" fontId="16" fillId="4" borderId="0" xfId="2" quotePrefix="1" applyNumberFormat="1" applyFont="1" applyProtection="1">
      <protection locked="0"/>
    </xf>
    <xf numFmtId="43" fontId="16" fillId="4" borderId="0" xfId="2" applyNumberFormat="1" applyProtection="1">
      <protection locked="0"/>
    </xf>
    <xf numFmtId="0" fontId="0" fillId="0" borderId="0" xfId="0" applyAlignment="1" applyProtection="1">
      <alignment horizontal="left" vertical="top" indent="2"/>
      <protection locked="0"/>
    </xf>
    <xf numFmtId="0" fontId="16" fillId="4" borderId="0" xfId="2" quotePrefix="1" applyFont="1" applyAlignment="1" applyProtection="1">
      <alignment vertical="top"/>
      <protection locked="0"/>
    </xf>
    <xf numFmtId="164" fontId="4" fillId="2" borderId="0" xfId="5" applyNumberFormat="1" applyFill="1" applyProtection="1">
      <protection locked="0"/>
    </xf>
    <xf numFmtId="0" fontId="0" fillId="0" borderId="0" xfId="0" applyAlignment="1" applyProtection="1">
      <alignment horizontal="left" indent="2"/>
      <protection locked="0"/>
    </xf>
    <xf numFmtId="164" fontId="16" fillId="0" borderId="0" xfId="5" applyNumberFormat="1" applyFont="1" applyProtection="1">
      <protection locked="0"/>
    </xf>
    <xf numFmtId="0" fontId="4" fillId="4" borderId="0" xfId="2" applyFont="1" applyAlignment="1" applyProtection="1">
      <alignment vertical="top"/>
      <protection locked="0"/>
    </xf>
    <xf numFmtId="43" fontId="4" fillId="2" borderId="0" xfId="5" quotePrefix="1" applyFont="1" applyFill="1" applyAlignment="1" applyProtection="1">
      <alignment vertical="top"/>
      <protection locked="0"/>
    </xf>
    <xf numFmtId="43" fontId="4" fillId="2" borderId="0" xfId="5" applyFill="1" applyProtection="1">
      <protection locked="0"/>
    </xf>
    <xf numFmtId="43" fontId="16" fillId="2" borderId="0" xfId="5" applyFont="1" applyFill="1" applyAlignment="1" applyProtection="1">
      <alignment horizontal="right"/>
      <protection locked="0"/>
    </xf>
    <xf numFmtId="0" fontId="7" fillId="0" borderId="1" xfId="2" applyFont="1" applyFill="1" applyBorder="1" applyAlignment="1" applyProtection="1">
      <alignment horizontal="right" vertical="center"/>
      <protection locked="0"/>
    </xf>
    <xf numFmtId="0" fontId="7" fillId="0" borderId="1" xfId="2" applyFont="1" applyFill="1" applyBorder="1" applyAlignment="1" applyProtection="1">
      <alignment horizontal="center" vertical="center"/>
      <protection locked="0"/>
    </xf>
    <xf numFmtId="0" fontId="7" fillId="0" borderId="1" xfId="2" applyFont="1" applyFill="1" applyBorder="1" applyAlignment="1" applyProtection="1">
      <alignment vertical="center"/>
      <protection locked="0"/>
    </xf>
    <xf numFmtId="0" fontId="7" fillId="0" borderId="1" xfId="2" applyFont="1" applyFill="1" applyBorder="1" applyAlignment="1" applyProtection="1">
      <alignment horizontal="left" vertical="center"/>
      <protection locked="0"/>
    </xf>
    <xf numFmtId="0" fontId="0" fillId="0" borderId="0" xfId="0" applyAlignment="1" applyProtection="1">
      <alignment horizontal="center"/>
      <protection locked="0"/>
    </xf>
    <xf numFmtId="43" fontId="16" fillId="0" borderId="0" xfId="5" applyFont="1" applyProtection="1">
      <protection locked="0"/>
    </xf>
    <xf numFmtId="0" fontId="0" fillId="0" borderId="0" xfId="0" applyAlignment="1" applyProtection="1">
      <alignment horizontal="right"/>
      <protection locked="0"/>
    </xf>
    <xf numFmtId="0" fontId="0" fillId="0" borderId="0" xfId="0" applyBorder="1" applyProtection="1">
      <protection locked="0"/>
    </xf>
    <xf numFmtId="0" fontId="0" fillId="0" borderId="0" xfId="0" applyBorder="1" applyAlignment="1" applyProtection="1">
      <alignment horizontal="center"/>
      <protection locked="0"/>
    </xf>
    <xf numFmtId="43" fontId="16" fillId="0" borderId="0" xfId="5" applyFont="1" applyBorder="1" applyProtection="1">
      <protection locked="0"/>
    </xf>
    <xf numFmtId="0" fontId="0" fillId="0" borderId="0" xfId="0" applyBorder="1" applyAlignment="1" applyProtection="1">
      <alignment horizontal="right"/>
      <protection locked="0"/>
    </xf>
    <xf numFmtId="166" fontId="16" fillId="0" borderId="0" xfId="5" applyNumberFormat="1" applyFont="1" applyBorder="1" applyAlignment="1" applyProtection="1">
      <alignment horizontal="right"/>
      <protection locked="0"/>
    </xf>
    <xf numFmtId="0" fontId="16" fillId="0" borderId="0" xfId="2" applyFont="1" applyFill="1" applyBorder="1" applyAlignment="1" applyProtection="1">
      <alignment horizontal="left" vertical="center"/>
      <protection locked="0"/>
    </xf>
    <xf numFmtId="0" fontId="7" fillId="0" borderId="0" xfId="2" applyFont="1" applyFill="1" applyBorder="1" applyAlignment="1" applyProtection="1">
      <alignment horizontal="left" vertical="center"/>
      <protection locked="0"/>
    </xf>
    <xf numFmtId="166" fontId="16" fillId="0" borderId="0" xfId="5" applyNumberFormat="1" applyFont="1" applyAlignment="1" applyProtection="1">
      <alignment horizontal="right"/>
      <protection locked="0"/>
    </xf>
    <xf numFmtId="0" fontId="19" fillId="0" borderId="0" xfId="7" applyBorder="1" applyAlignment="1" applyProtection="1">
      <alignment vertical="top"/>
      <protection locked="0"/>
    </xf>
    <xf numFmtId="43" fontId="4" fillId="2" borderId="0" xfId="5" applyNumberFormat="1" applyFill="1" applyProtection="1">
      <protection locked="0"/>
    </xf>
    <xf numFmtId="0" fontId="4" fillId="4" borderId="0" xfId="2" quotePrefix="1" applyFont="1" applyAlignment="1" applyProtection="1">
      <alignment vertical="top"/>
      <protection locked="0"/>
    </xf>
    <xf numFmtId="1" fontId="4" fillId="4" borderId="0" xfId="2" quotePrefix="1" applyNumberFormat="1" applyFont="1" applyAlignment="1" applyProtection="1">
      <alignment vertical="top"/>
      <protection locked="0"/>
    </xf>
    <xf numFmtId="2" fontId="4" fillId="4" borderId="0" xfId="2" quotePrefix="1" applyNumberFormat="1" applyFont="1" applyAlignment="1" applyProtection="1">
      <alignment vertical="top"/>
      <protection locked="0"/>
    </xf>
    <xf numFmtId="0" fontId="4" fillId="4" borderId="0" xfId="2" applyFont="1" applyProtection="1">
      <protection locked="0"/>
    </xf>
    <xf numFmtId="0" fontId="4" fillId="4" borderId="0" xfId="2" quotePrefix="1" applyFont="1" applyProtection="1">
      <protection locked="0"/>
    </xf>
    <xf numFmtId="0" fontId="4" fillId="0" borderId="0" xfId="2" applyFont="1" applyFill="1" applyAlignment="1" applyProtection="1">
      <alignment vertical="top"/>
      <protection locked="0"/>
    </xf>
    <xf numFmtId="0" fontId="6" fillId="0" borderId="10" xfId="8" applyFont="1" applyAlignment="1" applyProtection="1">
      <alignment vertical="top"/>
      <protection locked="0"/>
    </xf>
    <xf numFmtId="0" fontId="16" fillId="4" borderId="3" xfId="2" applyBorder="1" applyAlignment="1" applyProtection="1">
      <alignment vertical="top"/>
      <protection locked="0"/>
    </xf>
    <xf numFmtId="0" fontId="12" fillId="0" borderId="0" xfId="0" applyFont="1" applyBorder="1" applyProtection="1">
      <protection locked="0"/>
    </xf>
    <xf numFmtId="0" fontId="16" fillId="4" borderId="1" xfId="2" applyBorder="1" applyAlignment="1" applyProtection="1">
      <alignment vertical="top"/>
      <protection locked="0"/>
    </xf>
    <xf numFmtId="0" fontId="16" fillId="0" borderId="0" xfId="2" applyFill="1" applyAlignment="1" applyProtection="1">
      <alignment vertical="top"/>
      <protection locked="0"/>
    </xf>
    <xf numFmtId="0" fontId="0" fillId="0" borderId="0" xfId="0" applyFill="1" applyProtection="1">
      <protection locked="0"/>
    </xf>
    <xf numFmtId="43" fontId="0" fillId="0" borderId="0" xfId="0" applyNumberFormat="1" applyProtection="1">
      <protection locked="0"/>
    </xf>
    <xf numFmtId="0" fontId="3" fillId="2" borderId="0" xfId="3" applyProtection="1">
      <protection locked="0"/>
    </xf>
    <xf numFmtId="0" fontId="3" fillId="2" borderId="0" xfId="3" applyFont="1" applyProtection="1">
      <protection locked="0"/>
    </xf>
    <xf numFmtId="164" fontId="3" fillId="0" borderId="0" xfId="5" applyNumberFormat="1" applyFont="1" applyAlignment="1" applyProtection="1">
      <alignment horizontal="right"/>
      <protection locked="0"/>
    </xf>
    <xf numFmtId="0" fontId="17" fillId="3" borderId="0" xfId="4" applyFill="1" applyAlignment="1" applyProtection="1">
      <alignment horizontal="center"/>
      <protection locked="0"/>
    </xf>
    <xf numFmtId="164" fontId="3" fillId="0" borderId="0" xfId="5" applyNumberFormat="1" applyFont="1" applyProtection="1">
      <protection locked="0"/>
    </xf>
    <xf numFmtId="0" fontId="17" fillId="3" borderId="4" xfId="4" applyFill="1" applyBorder="1" applyAlignment="1" applyProtection="1">
      <alignment horizontal="left"/>
      <protection locked="0"/>
    </xf>
    <xf numFmtId="41" fontId="0" fillId="0" borderId="0" xfId="0" applyNumberFormat="1" applyProtection="1">
      <protection locked="0"/>
    </xf>
    <xf numFmtId="41" fontId="3" fillId="2" borderId="0" xfId="3" applyNumberFormat="1" applyBorder="1" applyProtection="1">
      <protection locked="0"/>
    </xf>
    <xf numFmtId="41" fontId="3" fillId="0" borderId="0" xfId="3" applyNumberFormat="1" applyFill="1" applyBorder="1" applyProtection="1">
      <protection locked="0"/>
    </xf>
    <xf numFmtId="0" fontId="0" fillId="0" borderId="0" xfId="0" applyAlignment="1" applyProtection="1">
      <alignment wrapText="1"/>
      <protection locked="0"/>
    </xf>
    <xf numFmtId="0" fontId="0" fillId="0" borderId="5" xfId="0" applyBorder="1" applyProtection="1">
      <protection locked="0"/>
    </xf>
    <xf numFmtId="0" fontId="0" fillId="0" borderId="5" xfId="0" applyBorder="1" applyAlignment="1" applyProtection="1">
      <alignment horizontal="center"/>
      <protection locked="0"/>
    </xf>
    <xf numFmtId="0" fontId="3" fillId="0" borderId="0" xfId="5" applyNumberFormat="1" applyFont="1" applyAlignment="1" applyProtection="1">
      <alignment horizontal="right"/>
      <protection locked="0"/>
    </xf>
    <xf numFmtId="0" fontId="3" fillId="0" borderId="0" xfId="5" applyNumberFormat="1" applyFont="1" applyProtection="1">
      <protection locked="0"/>
    </xf>
    <xf numFmtId="37" fontId="3" fillId="0" borderId="0" xfId="3" applyNumberFormat="1" applyFill="1" applyBorder="1" applyProtection="1">
      <protection locked="0"/>
    </xf>
    <xf numFmtId="0" fontId="15" fillId="0" borderId="0" xfId="0" applyFont="1" applyProtection="1">
      <protection locked="0"/>
    </xf>
    <xf numFmtId="14" fontId="16" fillId="4" borderId="0" xfId="2" applyNumberFormat="1" applyProtection="1">
      <protection locked="0"/>
    </xf>
    <xf numFmtId="14" fontId="16" fillId="4" borderId="0" xfId="2" quotePrefix="1" applyNumberFormat="1" applyProtection="1">
      <protection locked="0"/>
    </xf>
    <xf numFmtId="14" fontId="16" fillId="0" borderId="0" xfId="2" quotePrefix="1" applyNumberFormat="1" applyFill="1" applyProtection="1">
      <protection locked="0"/>
    </xf>
    <xf numFmtId="0" fontId="16" fillId="0" borderId="0" xfId="2" applyFont="1" applyFill="1" applyProtection="1">
      <protection locked="0"/>
    </xf>
    <xf numFmtId="22" fontId="0" fillId="0" borderId="0" xfId="0" quotePrefix="1" applyNumberFormat="1" applyProtection="1">
      <protection locked="0"/>
    </xf>
    <xf numFmtId="0" fontId="18" fillId="0" borderId="8" xfId="6" applyProtection="1">
      <protection locked="0"/>
    </xf>
    <xf numFmtId="14" fontId="17" fillId="5" borderId="0" xfId="4" applyNumberFormat="1" applyProtection="1">
      <protection locked="0"/>
    </xf>
    <xf numFmtId="8" fontId="17" fillId="5" borderId="0" xfId="4" applyNumberFormat="1" applyProtection="1">
      <protection locked="0"/>
    </xf>
    <xf numFmtId="6" fontId="16" fillId="4" borderId="0" xfId="2" applyNumberFormat="1" applyFont="1" applyProtection="1">
      <protection locked="0"/>
    </xf>
    <xf numFmtId="10" fontId="0" fillId="0" borderId="0" xfId="0" applyNumberFormat="1" applyProtection="1">
      <protection locked="0"/>
    </xf>
    <xf numFmtId="164" fontId="16" fillId="2" borderId="0" xfId="5" applyNumberFormat="1" applyFont="1" applyFill="1" applyProtection="1">
      <protection locked="0"/>
    </xf>
    <xf numFmtId="6" fontId="16" fillId="0" borderId="0" xfId="2" applyNumberFormat="1" applyFont="1" applyFill="1" applyProtection="1">
      <protection locked="0"/>
    </xf>
    <xf numFmtId="8" fontId="0" fillId="0" borderId="0" xfId="0" applyNumberFormat="1" applyProtection="1">
      <protection locked="0"/>
    </xf>
    <xf numFmtId="0" fontId="0" fillId="0" borderId="0" xfId="0" applyAlignment="1" applyProtection="1">
      <alignment vertical="top" wrapText="1"/>
      <protection locked="0"/>
    </xf>
    <xf numFmtId="0" fontId="35" fillId="0" borderId="0" xfId="0" applyFont="1" applyAlignment="1" applyProtection="1">
      <alignment horizontal="left"/>
      <protection locked="0"/>
    </xf>
    <xf numFmtId="0" fontId="43" fillId="0" borderId="0" xfId="0" applyFont="1" applyProtection="1">
      <protection locked="0"/>
    </xf>
    <xf numFmtId="0" fontId="35" fillId="0" borderId="0" xfId="0" quotePrefix="1" applyFont="1" applyAlignment="1" applyProtection="1">
      <alignment horizontal="left"/>
      <protection locked="0"/>
    </xf>
    <xf numFmtId="14" fontId="43" fillId="0" borderId="0" xfId="0" applyNumberFormat="1" applyFont="1" applyProtection="1">
      <protection locked="0"/>
    </xf>
    <xf numFmtId="0" fontId="43" fillId="12" borderId="2" xfId="0" applyFont="1" applyFill="1" applyBorder="1" applyProtection="1">
      <protection locked="0"/>
    </xf>
    <xf numFmtId="0" fontId="43" fillId="0" borderId="0" xfId="0" quotePrefix="1" applyFont="1" applyAlignment="1" applyProtection="1">
      <alignment horizontal="left"/>
      <protection locked="0"/>
    </xf>
    <xf numFmtId="0" fontId="82" fillId="16" borderId="11" xfId="0" quotePrefix="1" applyFont="1" applyFill="1" applyBorder="1" applyAlignment="1" applyProtection="1">
      <alignment horizontal="centerContinuous"/>
      <protection locked="0"/>
    </xf>
    <xf numFmtId="0" fontId="83" fillId="16" borderId="12" xfId="0" applyFont="1" applyFill="1" applyBorder="1" applyAlignment="1" applyProtection="1">
      <alignment horizontal="centerContinuous"/>
      <protection locked="0"/>
    </xf>
    <xf numFmtId="164" fontId="83" fillId="16" borderId="12" xfId="5" applyNumberFormat="1" applyFont="1" applyFill="1" applyBorder="1" applyAlignment="1" applyProtection="1">
      <alignment horizontal="centerContinuous"/>
      <protection locked="0"/>
    </xf>
    <xf numFmtId="0" fontId="83" fillId="16" borderId="13" xfId="0" applyFont="1" applyFill="1" applyBorder="1" applyAlignment="1" applyProtection="1">
      <alignment horizontal="centerContinuous"/>
      <protection locked="0"/>
    </xf>
    <xf numFmtId="0" fontId="82" fillId="16" borderId="16" xfId="0" quotePrefix="1" applyFont="1" applyFill="1" applyBorder="1" applyAlignment="1" applyProtection="1">
      <alignment horizontal="centerContinuous"/>
      <protection locked="0"/>
    </xf>
    <xf numFmtId="0" fontId="83" fillId="16" borderId="17" xfId="0" applyFont="1" applyFill="1" applyBorder="1" applyAlignment="1" applyProtection="1">
      <alignment horizontal="centerContinuous"/>
      <protection locked="0"/>
    </xf>
    <xf numFmtId="164" fontId="83" fillId="16" borderId="17" xfId="5" applyNumberFormat="1" applyFont="1" applyFill="1" applyBorder="1" applyAlignment="1" applyProtection="1">
      <alignment horizontal="centerContinuous"/>
      <protection locked="0"/>
    </xf>
    <xf numFmtId="0" fontId="83" fillId="16" borderId="18" xfId="0" applyFont="1" applyFill="1" applyBorder="1" applyAlignment="1" applyProtection="1">
      <alignment horizontal="centerContinuous"/>
      <protection locked="0"/>
    </xf>
    <xf numFmtId="0" fontId="82" fillId="16" borderId="0" xfId="0" quotePrefix="1" applyFont="1" applyFill="1" applyBorder="1" applyAlignment="1" applyProtection="1">
      <alignment horizontal="centerContinuous"/>
      <protection locked="0"/>
    </xf>
    <xf numFmtId="0" fontId="83" fillId="16" borderId="0" xfId="0" applyFont="1" applyFill="1" applyBorder="1" applyAlignment="1" applyProtection="1">
      <alignment horizontal="centerContinuous"/>
      <protection locked="0"/>
    </xf>
    <xf numFmtId="164" fontId="83" fillId="16" borderId="0" xfId="5" applyNumberFormat="1" applyFont="1" applyFill="1" applyBorder="1" applyAlignment="1" applyProtection="1">
      <alignment horizontal="centerContinuous"/>
      <protection locked="0"/>
    </xf>
    <xf numFmtId="0" fontId="82" fillId="0" borderId="20" xfId="0" applyFont="1" applyBorder="1" applyAlignment="1" applyProtection="1">
      <alignment horizontal="left"/>
      <protection locked="0"/>
    </xf>
    <xf numFmtId="164" fontId="82" fillId="0" borderId="20" xfId="5" applyNumberFormat="1" applyFont="1" applyBorder="1" applyAlignment="1" applyProtection="1">
      <alignment horizontal="left"/>
      <protection locked="0"/>
    </xf>
    <xf numFmtId="164" fontId="82" fillId="0" borderId="20" xfId="5" applyNumberFormat="1" applyFont="1" applyBorder="1" applyAlignment="1" applyProtection="1">
      <alignment horizontal="center"/>
      <protection locked="0"/>
    </xf>
    <xf numFmtId="167" fontId="82" fillId="0" borderId="20" xfId="9" quotePrefix="1" applyNumberFormat="1" applyFont="1" applyBorder="1" applyAlignment="1" applyProtection="1">
      <alignment horizontal="center" wrapText="1"/>
      <protection locked="0"/>
    </xf>
    <xf numFmtId="0" fontId="83" fillId="0" borderId="0" xfId="0" applyFont="1" applyProtection="1">
      <protection locked="0"/>
    </xf>
    <xf numFmtId="164" fontId="83" fillId="0" borderId="0" xfId="5" applyNumberFormat="1" applyFont="1" applyProtection="1">
      <protection locked="0"/>
    </xf>
    <xf numFmtId="167" fontId="83" fillId="0" borderId="0" xfId="9" applyNumberFormat="1" applyFont="1" applyAlignment="1" applyProtection="1">
      <alignment horizontal="center"/>
      <protection locked="0"/>
    </xf>
    <xf numFmtId="0" fontId="83" fillId="0" borderId="0" xfId="0" applyFont="1" applyAlignment="1" applyProtection="1">
      <alignment horizontal="center"/>
      <protection locked="0"/>
    </xf>
    <xf numFmtId="167" fontId="83" fillId="0" borderId="0" xfId="9" applyNumberFormat="1" applyFont="1" applyBorder="1" applyAlignment="1" applyProtection="1">
      <alignment horizontal="center"/>
      <protection locked="0"/>
    </xf>
    <xf numFmtId="164" fontId="43" fillId="0" borderId="0" xfId="5" applyNumberFormat="1" applyFont="1" applyProtection="1">
      <protection locked="0"/>
    </xf>
    <xf numFmtId="164" fontId="43" fillId="0" borderId="0" xfId="5" quotePrefix="1" applyNumberFormat="1" applyFont="1" applyAlignment="1" applyProtection="1">
      <alignment horizontal="left"/>
      <protection locked="0"/>
    </xf>
    <xf numFmtId="8" fontId="43" fillId="12" borderId="2" xfId="0" applyNumberFormat="1" applyFont="1" applyFill="1" applyBorder="1" applyProtection="1">
      <protection locked="0"/>
    </xf>
    <xf numFmtId="0" fontId="2" fillId="0" borderId="0" xfId="0" applyFont="1" applyProtection="1">
      <protection locked="0"/>
    </xf>
    <xf numFmtId="9" fontId="2" fillId="0" borderId="0" xfId="9" applyFont="1" applyProtection="1">
      <protection locked="0"/>
    </xf>
    <xf numFmtId="0" fontId="90" fillId="0" borderId="0" xfId="0" applyFont="1" applyProtection="1">
      <protection locked="0"/>
    </xf>
    <xf numFmtId="0" fontId="26" fillId="0" borderId="0" xfId="11" applyAlignment="1" applyProtection="1">
      <protection locked="0"/>
    </xf>
    <xf numFmtId="0" fontId="96" fillId="0" borderId="38" xfId="0" applyFont="1" applyBorder="1" applyAlignment="1" applyProtection="1">
      <alignment horizontal="center" wrapText="1"/>
      <protection locked="0"/>
    </xf>
    <xf numFmtId="0" fontId="97" fillId="0" borderId="38" xfId="0" applyFont="1" applyBorder="1" applyAlignment="1" applyProtection="1">
      <alignment horizontal="center" wrapText="1"/>
      <protection locked="0"/>
    </xf>
    <xf numFmtId="9" fontId="97" fillId="0" borderId="38" xfId="0" applyNumberFormat="1" applyFont="1" applyBorder="1" applyAlignment="1" applyProtection="1">
      <alignment horizontal="center" wrapText="1"/>
      <protection locked="0"/>
    </xf>
    <xf numFmtId="0" fontId="27" fillId="7" borderId="0" xfId="0" applyFont="1" applyFill="1" applyProtection="1">
      <protection locked="0"/>
    </xf>
    <xf numFmtId="164" fontId="27" fillId="0" borderId="0" xfId="5" applyNumberFormat="1" applyFont="1" applyProtection="1">
      <protection locked="0"/>
    </xf>
    <xf numFmtId="49" fontId="41" fillId="0" borderId="0" xfId="0" quotePrefix="1" applyNumberFormat="1" applyFont="1" applyAlignment="1" applyProtection="1">
      <alignment horizontal="left"/>
      <protection locked="0"/>
    </xf>
    <xf numFmtId="49" fontId="41" fillId="0" borderId="0" xfId="0" applyNumberFormat="1" applyFont="1" applyProtection="1">
      <protection locked="0"/>
    </xf>
    <xf numFmtId="164" fontId="94" fillId="0" borderId="2" xfId="5" applyNumberFormat="1" applyFont="1" applyBorder="1" applyAlignment="1" applyProtection="1">
      <alignment horizontal="center"/>
      <protection locked="0"/>
    </xf>
    <xf numFmtId="164" fontId="94" fillId="0" borderId="2" xfId="5" quotePrefix="1" applyNumberFormat="1" applyFont="1" applyBorder="1" applyAlignment="1" applyProtection="1">
      <alignment horizontal="center"/>
      <protection locked="0"/>
    </xf>
    <xf numFmtId="43" fontId="94" fillId="0" borderId="2" xfId="5" quotePrefix="1" applyFont="1" applyBorder="1" applyAlignment="1" applyProtection="1">
      <alignment horizontal="center"/>
      <protection locked="0"/>
    </xf>
    <xf numFmtId="0" fontId="32" fillId="0" borderId="0" xfId="0" applyFont="1" applyProtection="1">
      <protection locked="0"/>
    </xf>
    <xf numFmtId="49" fontId="66" fillId="0" borderId="0" xfId="0" applyNumberFormat="1" applyFont="1" applyAlignment="1" applyProtection="1">
      <alignment horizontal="left"/>
      <protection locked="0"/>
    </xf>
    <xf numFmtId="164" fontId="95" fillId="0" borderId="0" xfId="5" applyNumberFormat="1" applyFont="1" applyProtection="1">
      <protection locked="0"/>
    </xf>
    <xf numFmtId="164" fontId="74" fillId="0" borderId="0" xfId="5" applyNumberFormat="1" applyFont="1" applyProtection="1">
      <protection locked="0"/>
    </xf>
    <xf numFmtId="164" fontId="2" fillId="0" borderId="0" xfId="5" applyNumberFormat="1" applyFont="1" applyProtection="1">
      <protection locked="0"/>
    </xf>
    <xf numFmtId="43" fontId="32" fillId="0" borderId="0" xfId="5" applyFont="1" applyProtection="1">
      <protection locked="0"/>
    </xf>
    <xf numFmtId="49" fontId="66" fillId="0" borderId="0" xfId="0" applyNumberFormat="1" applyFont="1" applyAlignment="1" applyProtection="1">
      <alignment horizontal="left" indent="1"/>
      <protection locked="0"/>
    </xf>
    <xf numFmtId="164" fontId="95" fillId="0" borderId="26" xfId="5" applyNumberFormat="1" applyFont="1" applyBorder="1" applyProtection="1">
      <protection locked="0"/>
    </xf>
    <xf numFmtId="0" fontId="38" fillId="0" borderId="0" xfId="0" applyFont="1" applyProtection="1">
      <protection locked="0"/>
    </xf>
    <xf numFmtId="164" fontId="74" fillId="0" borderId="28" xfId="5" applyNumberFormat="1" applyFont="1" applyBorder="1" applyProtection="1">
      <protection locked="0"/>
    </xf>
    <xf numFmtId="164" fontId="32" fillId="0" borderId="28" xfId="5" applyNumberFormat="1" applyFont="1" applyBorder="1" applyProtection="1">
      <protection locked="0"/>
    </xf>
    <xf numFmtId="0" fontId="36" fillId="0" borderId="0" xfId="0" applyFont="1" applyProtection="1">
      <protection locked="0"/>
    </xf>
    <xf numFmtId="0" fontId="92" fillId="18" borderId="33" xfId="0" applyFont="1" applyFill="1" applyBorder="1" applyAlignment="1" applyProtection="1">
      <alignment horizontal="right"/>
      <protection locked="0"/>
    </xf>
    <xf numFmtId="0" fontId="92" fillId="18" borderId="34" xfId="0" applyFont="1" applyFill="1" applyBorder="1" applyAlignment="1" applyProtection="1">
      <alignment horizontal="right"/>
      <protection locked="0"/>
    </xf>
    <xf numFmtId="164" fontId="93" fillId="19" borderId="35" xfId="5" applyNumberFormat="1" applyFont="1" applyFill="1" applyBorder="1" applyAlignment="1" applyProtection="1">
      <protection locked="0"/>
    </xf>
    <xf numFmtId="164" fontId="93" fillId="19" borderId="0" xfId="5" applyNumberFormat="1" applyFont="1" applyFill="1" applyBorder="1" applyAlignment="1" applyProtection="1">
      <protection locked="0"/>
    </xf>
    <xf numFmtId="164" fontId="93" fillId="20" borderId="36" xfId="5" applyNumberFormat="1" applyFont="1" applyFill="1" applyBorder="1" applyAlignment="1" applyProtection="1">
      <protection locked="0"/>
    </xf>
    <xf numFmtId="164" fontId="93" fillId="20" borderId="37" xfId="5" applyNumberFormat="1" applyFont="1" applyFill="1" applyBorder="1" applyAlignment="1" applyProtection="1">
      <protection locked="0"/>
    </xf>
    <xf numFmtId="0" fontId="2" fillId="7" borderId="0" xfId="0" applyFont="1" applyFill="1" applyProtection="1">
      <protection locked="0"/>
    </xf>
    <xf numFmtId="0" fontId="2" fillId="0" borderId="0" xfId="0" quotePrefix="1" applyFont="1" applyAlignment="1" applyProtection="1">
      <alignment horizontal="left"/>
      <protection locked="0"/>
    </xf>
    <xf numFmtId="0" fontId="27" fillId="0" borderId="0" xfId="0" applyFont="1" applyProtection="1">
      <protection locked="0"/>
    </xf>
    <xf numFmtId="0" fontId="91" fillId="0" borderId="0" xfId="11" applyFont="1" applyAlignment="1" applyProtection="1">
      <protection locked="0"/>
    </xf>
    <xf numFmtId="0" fontId="22" fillId="0" borderId="0" xfId="0" applyFont="1" applyProtection="1">
      <protection locked="0"/>
    </xf>
    <xf numFmtId="0" fontId="27" fillId="0" borderId="0" xfId="0" quotePrefix="1" applyFont="1" applyAlignment="1" applyProtection="1">
      <alignment horizontal="left"/>
      <protection locked="0"/>
    </xf>
    <xf numFmtId="164" fontId="2" fillId="7" borderId="0" xfId="5" applyNumberFormat="1" applyFont="1" applyFill="1" applyProtection="1">
      <protection locked="0"/>
    </xf>
    <xf numFmtId="0" fontId="0" fillId="0" borderId="0" xfId="0" pivotButton="1" applyProtection="1">
      <protection locked="0"/>
    </xf>
    <xf numFmtId="0" fontId="0" fillId="0" borderId="0" xfId="0" applyAlignment="1" applyProtection="1">
      <alignment horizontal="left"/>
      <protection locked="0"/>
    </xf>
    <xf numFmtId="164" fontId="0" fillId="0" borderId="0" xfId="0" applyNumberFormat="1" applyProtection="1">
      <protection locked="0"/>
    </xf>
    <xf numFmtId="0" fontId="37" fillId="0" borderId="24" xfId="0" applyFont="1" applyBorder="1" applyAlignment="1" applyProtection="1">
      <alignment horizontal="center"/>
      <protection locked="0"/>
    </xf>
    <xf numFmtId="168" fontId="37" fillId="0" borderId="24" xfId="5" applyNumberFormat="1" applyFont="1" applyBorder="1" applyAlignment="1" applyProtection="1">
      <alignment horizontal="center"/>
      <protection locked="0"/>
    </xf>
    <xf numFmtId="164" fontId="37" fillId="0" borderId="24" xfId="5" applyNumberFormat="1" applyFont="1" applyBorder="1" applyAlignment="1" applyProtection="1">
      <alignment horizontal="center"/>
      <protection locked="0"/>
    </xf>
    <xf numFmtId="164" fontId="37" fillId="0" borderId="24" xfId="5" quotePrefix="1" applyNumberFormat="1" applyFont="1" applyBorder="1" applyAlignment="1" applyProtection="1">
      <alignment horizontal="center"/>
      <protection locked="0"/>
    </xf>
    <xf numFmtId="0" fontId="37" fillId="0" borderId="0" xfId="0" applyFont="1" applyProtection="1">
      <protection locked="0"/>
    </xf>
    <xf numFmtId="0" fontId="37" fillId="0" borderId="0" xfId="0" applyFont="1" applyAlignment="1" applyProtection="1">
      <alignment horizontal="left"/>
      <protection locked="0"/>
    </xf>
    <xf numFmtId="168" fontId="37" fillId="0" borderId="0" xfId="5" applyNumberFormat="1" applyFont="1" applyProtection="1">
      <protection locked="0"/>
    </xf>
    <xf numFmtId="164" fontId="37" fillId="0" borderId="0" xfId="5" applyNumberFormat="1" applyFont="1" applyProtection="1">
      <protection locked="0"/>
    </xf>
    <xf numFmtId="0" fontId="37" fillId="0" borderId="0" xfId="0" quotePrefix="1" applyFont="1" applyAlignment="1" applyProtection="1">
      <alignment horizontal="left"/>
      <protection locked="0"/>
    </xf>
    <xf numFmtId="0" fontId="2" fillId="12" borderId="2" xfId="0" applyFont="1" applyFill="1" applyBorder="1" applyProtection="1">
      <protection locked="0"/>
    </xf>
    <xf numFmtId="0" fontId="70" fillId="12" borderId="2" xfId="0" applyFont="1" applyFill="1" applyBorder="1" applyProtection="1">
      <protection locked="0"/>
    </xf>
    <xf numFmtId="0" fontId="67" fillId="0" borderId="0" xfId="0" applyFont="1" applyProtection="1">
      <protection locked="0"/>
    </xf>
    <xf numFmtId="14" fontId="82" fillId="0" borderId="0" xfId="0" applyNumberFormat="1" applyFont="1" applyProtection="1">
      <protection locked="0"/>
    </xf>
    <xf numFmtId="164" fontId="82" fillId="0" borderId="2" xfId="5" applyNumberFormat="1" applyFont="1" applyBorder="1" applyProtection="1">
      <protection locked="0"/>
    </xf>
    <xf numFmtId="164" fontId="82" fillId="0" borderId="0" xfId="5" quotePrefix="1" applyNumberFormat="1" applyFont="1" applyAlignment="1" applyProtection="1">
      <alignment horizontal="left"/>
      <protection locked="0"/>
    </xf>
    <xf numFmtId="0" fontId="87" fillId="6" borderId="0" xfId="0" applyFont="1" applyFill="1" applyAlignment="1" applyProtection="1">
      <alignment horizontal="center" wrapText="1"/>
      <protection locked="0"/>
    </xf>
    <xf numFmtId="0" fontId="82" fillId="0" borderId="0" xfId="0" applyFont="1" applyProtection="1">
      <protection locked="0"/>
    </xf>
    <xf numFmtId="8" fontId="82" fillId="0" borderId="0" xfId="0" applyNumberFormat="1" applyFont="1" applyFill="1" applyBorder="1" applyProtection="1">
      <protection locked="0"/>
    </xf>
    <xf numFmtId="0" fontId="71" fillId="14" borderId="2" xfId="0" applyFont="1" applyFill="1" applyBorder="1" applyAlignment="1" applyProtection="1">
      <alignment horizontal="left" vertical="top" wrapText="1" indent="1"/>
      <protection locked="0"/>
    </xf>
    <xf numFmtId="0" fontId="71" fillId="14" borderId="2" xfId="0" applyFont="1" applyFill="1" applyBorder="1" applyAlignment="1" applyProtection="1">
      <alignment vertical="top" wrapText="1" indent="1"/>
      <protection locked="0"/>
    </xf>
    <xf numFmtId="0" fontId="71" fillId="17" borderId="2" xfId="0" applyFont="1" applyFill="1" applyBorder="1" applyAlignment="1" applyProtection="1">
      <alignment horizontal="left" vertical="top" wrapText="1" indent="1"/>
      <protection locked="0"/>
    </xf>
    <xf numFmtId="0" fontId="71" fillId="17" borderId="2" xfId="0" applyFont="1" applyFill="1" applyBorder="1" applyAlignment="1" applyProtection="1">
      <alignment vertical="top" wrapText="1" indent="1"/>
      <protection locked="0"/>
    </xf>
    <xf numFmtId="0" fontId="82" fillId="7" borderId="2" xfId="0" applyFont="1" applyFill="1" applyBorder="1" applyProtection="1">
      <protection locked="0"/>
    </xf>
    <xf numFmtId="0" fontId="2" fillId="0" borderId="2" xfId="0" applyFont="1" applyBorder="1" applyProtection="1">
      <protection locked="0"/>
    </xf>
    <xf numFmtId="0" fontId="45" fillId="0" borderId="0" xfId="0" applyFont="1" applyAlignment="1" applyProtection="1">
      <alignment horizontal="left"/>
      <protection locked="0"/>
    </xf>
    <xf numFmtId="0" fontId="44" fillId="0" borderId="0" xfId="0" applyFont="1" applyProtection="1">
      <protection locked="0"/>
    </xf>
    <xf numFmtId="0" fontId="51" fillId="0" borderId="0" xfId="0" applyFont="1" applyProtection="1">
      <protection locked="0"/>
    </xf>
    <xf numFmtId="0" fontId="63" fillId="0" borderId="0" xfId="0" applyFont="1" applyAlignment="1" applyProtection="1">
      <alignment horizontal="left"/>
      <protection locked="0"/>
    </xf>
    <xf numFmtId="164" fontId="44" fillId="0" borderId="0" xfId="5" applyNumberFormat="1" applyFont="1" applyProtection="1">
      <protection locked="0"/>
    </xf>
    <xf numFmtId="0" fontId="89" fillId="0" borderId="0" xfId="0" applyFont="1" applyProtection="1">
      <protection locked="0"/>
    </xf>
    <xf numFmtId="0" fontId="88" fillId="0" borderId="0" xfId="0" applyFont="1" applyAlignment="1" applyProtection="1">
      <alignment vertical="top" wrapText="1"/>
      <protection locked="0"/>
    </xf>
    <xf numFmtId="0" fontId="88" fillId="0" borderId="0" xfId="0" applyFont="1" applyAlignment="1" applyProtection="1">
      <alignment horizontal="left" vertical="top"/>
      <protection locked="0"/>
    </xf>
    <xf numFmtId="0" fontId="63" fillId="12" borderId="2" xfId="0" applyFont="1" applyFill="1" applyBorder="1" applyAlignment="1" applyProtection="1">
      <alignment horizontal="left"/>
      <protection locked="0"/>
    </xf>
    <xf numFmtId="0" fontId="88" fillId="0" borderId="0" xfId="0" applyFont="1" applyAlignment="1" applyProtection="1">
      <alignment horizontal="left" vertical="top" wrapText="1"/>
      <protection locked="0"/>
    </xf>
    <xf numFmtId="0" fontId="88" fillId="0" borderId="0" xfId="0" quotePrefix="1" applyFont="1" applyAlignment="1" applyProtection="1">
      <alignment horizontal="left" vertical="top"/>
      <protection locked="0"/>
    </xf>
    <xf numFmtId="0" fontId="71" fillId="0" borderId="0" xfId="0" applyFont="1" applyAlignment="1" applyProtection="1">
      <alignment horizontal="left" vertical="top"/>
      <protection locked="0"/>
    </xf>
    <xf numFmtId="14" fontId="86" fillId="12" borderId="2" xfId="0" applyNumberFormat="1" applyFont="1" applyFill="1" applyBorder="1" applyAlignment="1" applyProtection="1">
      <alignment horizontal="left"/>
      <protection locked="0"/>
    </xf>
    <xf numFmtId="0" fontId="63" fillId="0" borderId="2" xfId="0" applyFont="1" applyBorder="1" applyAlignment="1" applyProtection="1">
      <alignment wrapText="1"/>
      <protection locked="0"/>
    </xf>
    <xf numFmtId="164" fontId="2" fillId="0" borderId="0" xfId="5" applyNumberFormat="1" applyFont="1" applyAlignment="1" applyProtection="1">
      <alignment horizontal="center"/>
      <protection locked="0"/>
    </xf>
    <xf numFmtId="0" fontId="27" fillId="17" borderId="0" xfId="0" applyFont="1" applyFill="1" applyAlignment="1" applyProtection="1">
      <alignment vertical="top"/>
      <protection locked="0"/>
    </xf>
    <xf numFmtId="14" fontId="27" fillId="17" borderId="2" xfId="0" applyNumberFormat="1" applyFont="1" applyFill="1" applyBorder="1" applyAlignment="1" applyProtection="1">
      <alignment vertical="top"/>
      <protection locked="0"/>
    </xf>
    <xf numFmtId="0" fontId="27" fillId="14" borderId="0" xfId="0" applyFont="1" applyFill="1" applyAlignment="1" applyProtection="1">
      <alignment vertical="top"/>
      <protection locked="0"/>
    </xf>
    <xf numFmtId="14" fontId="27" fillId="14" borderId="2" xfId="0" applyNumberFormat="1" applyFont="1" applyFill="1" applyBorder="1" applyAlignment="1" applyProtection="1">
      <alignment vertical="top"/>
      <protection locked="0"/>
    </xf>
    <xf numFmtId="10" fontId="27" fillId="17" borderId="2" xfId="0" applyNumberFormat="1" applyFont="1" applyFill="1" applyBorder="1" applyAlignment="1" applyProtection="1">
      <alignment vertical="top"/>
      <protection locked="0"/>
    </xf>
    <xf numFmtId="44" fontId="27" fillId="14" borderId="2" xfId="12" applyFont="1" applyFill="1" applyBorder="1" applyAlignment="1" applyProtection="1">
      <alignment vertical="top"/>
      <protection locked="0"/>
    </xf>
    <xf numFmtId="6" fontId="27" fillId="17" borderId="2" xfId="0" applyNumberFormat="1" applyFont="1" applyFill="1" applyBorder="1" applyAlignment="1" applyProtection="1">
      <alignment vertical="top"/>
      <protection locked="0"/>
    </xf>
    <xf numFmtId="0" fontId="27" fillId="14" borderId="0" xfId="0" quotePrefix="1" applyFont="1" applyFill="1" applyAlignment="1" applyProtection="1">
      <alignment horizontal="left" vertical="top"/>
      <protection locked="0"/>
    </xf>
    <xf numFmtId="0" fontId="27" fillId="14" borderId="2" xfId="0" applyFont="1" applyFill="1" applyBorder="1" applyAlignment="1" applyProtection="1">
      <alignment vertical="top"/>
      <protection locked="0"/>
    </xf>
    <xf numFmtId="0" fontId="27" fillId="17" borderId="0" xfId="0" quotePrefix="1" applyFont="1" applyFill="1" applyAlignment="1" applyProtection="1">
      <alignment horizontal="left" vertical="top"/>
      <protection locked="0"/>
    </xf>
    <xf numFmtId="0" fontId="27" fillId="17" borderId="2" xfId="0" applyFont="1" applyFill="1" applyBorder="1" applyAlignment="1" applyProtection="1">
      <alignment vertical="top"/>
      <protection locked="0"/>
    </xf>
    <xf numFmtId="10" fontId="27" fillId="7" borderId="2" xfId="9" applyNumberFormat="1" applyFont="1" applyFill="1" applyBorder="1" applyProtection="1">
      <protection locked="0"/>
    </xf>
    <xf numFmtId="164" fontId="27" fillId="0" borderId="0" xfId="5" applyNumberFormat="1" applyFont="1" applyAlignment="1" applyProtection="1">
      <alignment horizontal="left"/>
      <protection locked="0"/>
    </xf>
    <xf numFmtId="0" fontId="38" fillId="0" borderId="0" xfId="0" applyFont="1" applyAlignment="1" applyProtection="1">
      <alignment wrapText="1"/>
      <protection locked="0"/>
    </xf>
    <xf numFmtId="0" fontId="2" fillId="0" borderId="0" xfId="0" applyFont="1" applyAlignment="1" applyProtection="1">
      <alignment wrapText="1"/>
      <protection locked="0"/>
    </xf>
    <xf numFmtId="14" fontId="27" fillId="0" borderId="24" xfId="0" quotePrefix="1" applyNumberFormat="1" applyFont="1" applyBorder="1" applyAlignment="1" applyProtection="1">
      <alignment horizontal="center" wrapText="1"/>
      <protection locked="0"/>
    </xf>
    <xf numFmtId="0" fontId="27" fillId="0" borderId="24" xfId="0" quotePrefix="1" applyFont="1" applyBorder="1" applyAlignment="1" applyProtection="1">
      <alignment horizontal="center"/>
      <protection locked="0"/>
    </xf>
    <xf numFmtId="0" fontId="2" fillId="17" borderId="0" xfId="0" applyFont="1" applyFill="1" applyAlignment="1" applyProtection="1">
      <alignment horizontal="left" vertical="top"/>
      <protection locked="0"/>
    </xf>
    <xf numFmtId="3" fontId="2" fillId="17" borderId="0" xfId="0" applyNumberFormat="1" applyFont="1" applyFill="1" applyAlignment="1" applyProtection="1">
      <alignment vertical="top" wrapText="1" indent="1"/>
      <protection locked="0"/>
    </xf>
    <xf numFmtId="0" fontId="2" fillId="0" borderId="0" xfId="0" applyFont="1" applyAlignment="1" applyProtection="1">
      <alignment horizontal="center"/>
      <protection locked="0"/>
    </xf>
    <xf numFmtId="0" fontId="2" fillId="14" borderId="0" xfId="0" applyFont="1" applyFill="1" applyAlignment="1" applyProtection="1">
      <alignment horizontal="left" vertical="top"/>
      <protection locked="0"/>
    </xf>
    <xf numFmtId="3" fontId="2" fillId="14" borderId="0" xfId="0" applyNumberFormat="1" applyFont="1" applyFill="1" applyAlignment="1" applyProtection="1">
      <alignment vertical="top" wrapText="1" indent="1"/>
      <protection locked="0"/>
    </xf>
    <xf numFmtId="9" fontId="2" fillId="0" borderId="0" xfId="0" applyNumberFormat="1" applyFont="1" applyAlignment="1" applyProtection="1">
      <alignment horizontal="center"/>
      <protection locked="0"/>
    </xf>
    <xf numFmtId="9" fontId="2" fillId="7" borderId="0" xfId="0" applyNumberFormat="1" applyFont="1" applyFill="1" applyProtection="1">
      <protection locked="0"/>
    </xf>
    <xf numFmtId="0" fontId="2" fillId="14" borderId="0" xfId="0" quotePrefix="1" applyFont="1" applyFill="1" applyAlignment="1" applyProtection="1">
      <alignment horizontal="left" vertical="top"/>
      <protection locked="0"/>
    </xf>
    <xf numFmtId="164" fontId="27" fillId="0" borderId="0" xfId="5" applyNumberFormat="1" applyFont="1" applyAlignment="1" applyProtection="1">
      <alignment horizontal="center"/>
      <protection locked="0"/>
    </xf>
    <xf numFmtId="164" fontId="27" fillId="7" borderId="2" xfId="5" applyNumberFormat="1" applyFont="1" applyFill="1" applyBorder="1" applyAlignment="1" applyProtection="1">
      <alignment horizontal="center"/>
      <protection locked="0"/>
    </xf>
    <xf numFmtId="0" fontId="27" fillId="0" borderId="0" xfId="0" applyFont="1" applyAlignment="1" applyProtection="1">
      <alignment horizontal="left"/>
      <protection locked="0"/>
    </xf>
    <xf numFmtId="164" fontId="27" fillId="7" borderId="2" xfId="5" applyNumberFormat="1" applyFont="1" applyFill="1" applyBorder="1" applyProtection="1">
      <protection locked="0"/>
    </xf>
    <xf numFmtId="14" fontId="2" fillId="0" borderId="0" xfId="0" applyNumberFormat="1" applyFont="1" applyProtection="1">
      <protection locked="0"/>
    </xf>
    <xf numFmtId="0" fontId="27" fillId="0" borderId="24" xfId="0" applyFont="1" applyBorder="1" applyAlignment="1" applyProtection="1">
      <alignment horizontal="center" wrapText="1"/>
      <protection locked="0"/>
    </xf>
    <xf numFmtId="0" fontId="27" fillId="0" borderId="24" xfId="0" quotePrefix="1" applyFont="1" applyBorder="1" applyAlignment="1" applyProtection="1">
      <alignment horizontal="center" wrapText="1"/>
      <protection locked="0"/>
    </xf>
    <xf numFmtId="0" fontId="27" fillId="0" borderId="24" xfId="0" applyFont="1" applyBorder="1" applyAlignment="1" applyProtection="1">
      <alignment horizontal="center"/>
      <protection locked="0"/>
    </xf>
    <xf numFmtId="169" fontId="2" fillId="0" borderId="0" xfId="0" applyNumberFormat="1" applyFont="1" applyProtection="1">
      <protection locked="0"/>
    </xf>
    <xf numFmtId="18" fontId="2" fillId="7" borderId="0" xfId="0" applyNumberFormat="1" applyFont="1" applyFill="1" applyAlignment="1" applyProtection="1">
      <alignment horizontal="center"/>
      <protection locked="0"/>
    </xf>
    <xf numFmtId="0" fontId="2" fillId="0" borderId="12" xfId="0" applyFont="1" applyBorder="1" applyProtection="1">
      <protection locked="0"/>
    </xf>
    <xf numFmtId="169" fontId="2" fillId="0" borderId="12" xfId="0" applyNumberFormat="1" applyFont="1" applyBorder="1" applyProtection="1">
      <protection locked="0"/>
    </xf>
    <xf numFmtId="18" fontId="2" fillId="7" borderId="12" xfId="0" applyNumberFormat="1" applyFont="1" applyFill="1" applyBorder="1" applyAlignment="1" applyProtection="1">
      <alignment horizontal="center"/>
      <protection locked="0"/>
    </xf>
    <xf numFmtId="20" fontId="2" fillId="0" borderId="0" xfId="0" applyNumberFormat="1" applyFont="1" applyProtection="1">
      <protection locked="0"/>
    </xf>
    <xf numFmtId="0" fontId="24" fillId="0" borderId="0" xfId="0" applyFont="1" applyAlignment="1" applyProtection="1">
      <alignment horizontal="center"/>
      <protection locked="0"/>
    </xf>
    <xf numFmtId="0" fontId="33" fillId="0" borderId="0" xfId="0" applyFont="1" applyAlignment="1" applyProtection="1">
      <alignment horizontal="center"/>
      <protection locked="0"/>
    </xf>
    <xf numFmtId="0" fontId="27" fillId="0" borderId="2" xfId="0" applyFont="1" applyBorder="1" applyAlignment="1" applyProtection="1">
      <alignment horizontal="center" wrapText="1"/>
      <protection locked="0"/>
    </xf>
    <xf numFmtId="0" fontId="64" fillId="0" borderId="0" xfId="0" applyFont="1" applyBorder="1" applyProtection="1">
      <protection locked="0"/>
    </xf>
    <xf numFmtId="0" fontId="64" fillId="0" borderId="0" xfId="0" applyFont="1" applyBorder="1" applyAlignment="1" applyProtection="1">
      <alignment horizontal="left"/>
      <protection locked="0"/>
    </xf>
    <xf numFmtId="0" fontId="2" fillId="0" borderId="0" xfId="0" applyFont="1" applyFill="1" applyBorder="1" applyProtection="1">
      <protection locked="0"/>
    </xf>
    <xf numFmtId="0" fontId="2" fillId="0" borderId="23" xfId="0" applyFont="1" applyBorder="1" applyProtection="1">
      <protection locked="0"/>
    </xf>
    <xf numFmtId="0" fontId="27" fillId="0" borderId="2" xfId="0" applyFont="1" applyBorder="1" applyProtection="1">
      <protection locked="0"/>
    </xf>
    <xf numFmtId="164" fontId="85" fillId="7" borderId="0" xfId="5" applyNumberFormat="1" applyFont="1" applyFill="1" applyAlignment="1" applyProtection="1">
      <alignment horizontal="center"/>
      <protection locked="0"/>
    </xf>
    <xf numFmtId="0" fontId="27" fillId="0" borderId="2" xfId="0" quotePrefix="1" applyFont="1" applyBorder="1" applyAlignment="1" applyProtection="1">
      <alignment horizontal="left"/>
      <protection locked="0"/>
    </xf>
    <xf numFmtId="44" fontId="85" fillId="11" borderId="0" xfId="12" applyFont="1" applyFill="1" applyProtection="1">
      <protection locked="0"/>
    </xf>
    <xf numFmtId="164" fontId="85" fillId="11" borderId="0" xfId="5" applyNumberFormat="1" applyFont="1" applyFill="1" applyProtection="1">
      <protection locked="0"/>
    </xf>
    <xf numFmtId="0" fontId="82" fillId="16" borderId="16" xfId="0" applyFont="1" applyFill="1" applyBorder="1" applyAlignment="1" applyProtection="1">
      <alignment horizontal="centerContinuous"/>
      <protection locked="0"/>
    </xf>
    <xf numFmtId="44" fontId="85" fillId="7" borderId="0" xfId="12" applyFont="1" applyFill="1" applyProtection="1">
      <protection locked="0"/>
    </xf>
    <xf numFmtId="164" fontId="85" fillId="7" borderId="0" xfId="5" applyNumberFormat="1" applyFont="1" applyFill="1" applyProtection="1">
      <protection locked="0"/>
    </xf>
    <xf numFmtId="8" fontId="27" fillId="7" borderId="2" xfId="0" applyNumberFormat="1" applyFont="1" applyFill="1" applyBorder="1" applyProtection="1">
      <protection locked="0"/>
    </xf>
    <xf numFmtId="0" fontId="27" fillId="0" borderId="24" xfId="0" applyFont="1" applyBorder="1" applyProtection="1">
      <protection locked="0"/>
    </xf>
    <xf numFmtId="164" fontId="27" fillId="0" borderId="24" xfId="5" applyNumberFormat="1" applyFont="1" applyBorder="1" applyProtection="1">
      <protection locked="0"/>
    </xf>
    <xf numFmtId="164" fontId="2" fillId="0" borderId="23" xfId="5" applyNumberFormat="1" applyFont="1" applyBorder="1" applyProtection="1">
      <protection locked="0"/>
    </xf>
    <xf numFmtId="0" fontId="27" fillId="7" borderId="2" xfId="0" applyFont="1" applyFill="1" applyBorder="1" applyProtection="1">
      <protection locked="0"/>
    </xf>
    <xf numFmtId="164" fontId="2" fillId="0" borderId="0" xfId="0" applyNumberFormat="1" applyFont="1" applyProtection="1">
      <protection locked="0"/>
    </xf>
    <xf numFmtId="0" fontId="27" fillId="0" borderId="0" xfId="0" applyFont="1" applyBorder="1" applyAlignment="1" applyProtection="1">
      <alignment horizontal="center" wrapText="1"/>
      <protection locked="0"/>
    </xf>
    <xf numFmtId="9" fontId="2" fillId="0" borderId="0" xfId="9" applyFont="1" applyAlignment="1" applyProtection="1">
      <alignment horizontal="center"/>
      <protection locked="0"/>
    </xf>
    <xf numFmtId="168" fontId="2" fillId="7" borderId="0" xfId="5" applyNumberFormat="1" applyFont="1" applyFill="1" applyProtection="1">
      <protection locked="0"/>
    </xf>
    <xf numFmtId="0" fontId="44" fillId="0" borderId="0" xfId="0" applyFont="1" applyAlignment="1" applyProtection="1">
      <alignment horizontal="left"/>
      <protection locked="0"/>
    </xf>
    <xf numFmtId="0" fontId="27" fillId="7" borderId="0" xfId="0" quotePrefix="1" applyFont="1" applyFill="1" applyAlignment="1" applyProtection="1">
      <alignment horizontal="left"/>
      <protection locked="0"/>
    </xf>
    <xf numFmtId="0" fontId="0" fillId="7" borderId="0" xfId="0" applyFill="1" applyProtection="1">
      <protection locked="0"/>
    </xf>
    <xf numFmtId="164" fontId="84" fillId="7" borderId="0" xfId="0" applyNumberFormat="1" applyFont="1" applyFill="1" applyAlignment="1" applyProtection="1">
      <alignment horizontal="center"/>
      <protection locked="0"/>
    </xf>
    <xf numFmtId="167" fontId="84" fillId="7" borderId="0" xfId="9" applyNumberFormat="1" applyFont="1" applyFill="1" applyAlignment="1" applyProtection="1">
      <alignment horizontal="center"/>
      <protection locked="0"/>
    </xf>
    <xf numFmtId="0" fontId="27" fillId="11" borderId="0" xfId="0" applyFont="1" applyFill="1" applyProtection="1">
      <protection locked="0"/>
    </xf>
    <xf numFmtId="0" fontId="0" fillId="11" borderId="0" xfId="0" applyFill="1" applyProtection="1">
      <protection locked="0"/>
    </xf>
    <xf numFmtId="164" fontId="84" fillId="11" borderId="0" xfId="0" applyNumberFormat="1" applyFont="1" applyFill="1" applyAlignment="1" applyProtection="1">
      <alignment horizontal="center"/>
      <protection locked="0"/>
    </xf>
    <xf numFmtId="167" fontId="84" fillId="11" borderId="0" xfId="9" applyNumberFormat="1" applyFont="1" applyFill="1" applyAlignment="1" applyProtection="1">
      <alignment horizontal="center"/>
      <protection locked="0"/>
    </xf>
    <xf numFmtId="164" fontId="84" fillId="0" borderId="0" xfId="0" applyNumberFormat="1" applyFont="1" applyAlignment="1" applyProtection="1">
      <alignment horizontal="center"/>
      <protection locked="0"/>
    </xf>
    <xf numFmtId="167" fontId="84" fillId="0" borderId="0" xfId="9" applyNumberFormat="1" applyFont="1" applyAlignment="1" applyProtection="1">
      <alignment horizontal="center"/>
      <protection locked="0"/>
    </xf>
    <xf numFmtId="0" fontId="27" fillId="11" borderId="0" xfId="0" quotePrefix="1" applyFont="1" applyFill="1" applyAlignment="1" applyProtection="1">
      <alignment horizontal="left"/>
      <protection locked="0"/>
    </xf>
    <xf numFmtId="0" fontId="37" fillId="0" borderId="20" xfId="0" applyFont="1" applyBorder="1" applyAlignment="1" applyProtection="1">
      <alignment horizontal="left"/>
      <protection locked="0"/>
    </xf>
    <xf numFmtId="164" fontId="37" fillId="0" borderId="20" xfId="5" applyNumberFormat="1" applyFont="1" applyBorder="1" applyAlignment="1" applyProtection="1">
      <alignment horizontal="left"/>
      <protection locked="0"/>
    </xf>
    <xf numFmtId="164" fontId="37" fillId="0" borderId="20" xfId="5" applyNumberFormat="1" applyFont="1" applyBorder="1" applyAlignment="1" applyProtection="1">
      <alignment horizontal="center"/>
      <protection locked="0"/>
    </xf>
    <xf numFmtId="167" fontId="37" fillId="0" borderId="20" xfId="9" quotePrefix="1" applyNumberFormat="1" applyFont="1" applyBorder="1" applyAlignment="1" applyProtection="1">
      <alignment horizontal="center" wrapText="1"/>
      <protection locked="0"/>
    </xf>
    <xf numFmtId="164" fontId="38" fillId="0" borderId="0" xfId="5" applyNumberFormat="1" applyFont="1" applyProtection="1">
      <protection locked="0"/>
    </xf>
    <xf numFmtId="167" fontId="38" fillId="0" borderId="0" xfId="9" applyNumberFormat="1" applyFont="1" applyAlignment="1" applyProtection="1">
      <alignment horizontal="center"/>
      <protection locked="0"/>
    </xf>
    <xf numFmtId="0" fontId="38" fillId="0" borderId="0" xfId="0" applyFont="1" applyAlignment="1" applyProtection="1">
      <alignment horizontal="center"/>
      <protection locked="0"/>
    </xf>
    <xf numFmtId="167" fontId="38" fillId="0" borderId="0" xfId="9" applyNumberFormat="1" applyFont="1" applyBorder="1" applyAlignment="1" applyProtection="1">
      <alignment horizontal="center"/>
      <protection locked="0"/>
    </xf>
    <xf numFmtId="0" fontId="37" fillId="0" borderId="0" xfId="5" applyNumberFormat="1" applyFont="1" applyProtection="1">
      <protection locked="0"/>
    </xf>
    <xf numFmtId="0" fontId="37" fillId="0" borderId="0" xfId="9" applyNumberFormat="1" applyFont="1" applyAlignment="1" applyProtection="1">
      <alignment horizontal="center"/>
      <protection locked="0"/>
    </xf>
    <xf numFmtId="0" fontId="37" fillId="0" borderId="0" xfId="0" applyFont="1" applyAlignment="1" applyProtection="1">
      <alignment horizontal="center"/>
      <protection locked="0"/>
    </xf>
    <xf numFmtId="0" fontId="37" fillId="0" borderId="0" xfId="1" applyFont="1" applyProtection="1">
      <protection locked="0"/>
    </xf>
    <xf numFmtId="0" fontId="44" fillId="0" borderId="0" xfId="0" quotePrefix="1" applyFont="1" applyAlignment="1" applyProtection="1">
      <alignment horizontal="left"/>
      <protection locked="0"/>
    </xf>
    <xf numFmtId="0" fontId="43" fillId="7" borderId="2" xfId="0" applyFont="1" applyFill="1" applyBorder="1" applyProtection="1">
      <protection locked="0"/>
    </xf>
    <xf numFmtId="0" fontId="82" fillId="0" borderId="0" xfId="5" applyNumberFormat="1" applyFont="1" applyProtection="1">
      <protection locked="0"/>
    </xf>
    <xf numFmtId="0" fontId="82" fillId="0" borderId="0" xfId="9" applyNumberFormat="1" applyFont="1" applyAlignment="1" applyProtection="1">
      <alignment horizontal="center"/>
      <protection locked="0"/>
    </xf>
    <xf numFmtId="0" fontId="82" fillId="0" borderId="0" xfId="0" applyFont="1" applyAlignment="1" applyProtection="1">
      <alignment horizontal="center"/>
      <protection locked="0"/>
    </xf>
    <xf numFmtId="0" fontId="36" fillId="0" borderId="0" xfId="1" applyProtection="1">
      <protection locked="0"/>
    </xf>
    <xf numFmtId="0" fontId="45" fillId="0" borderId="0" xfId="0" quotePrefix="1" applyFont="1" applyAlignment="1" applyProtection="1">
      <alignment horizontal="left"/>
      <protection locked="0"/>
    </xf>
    <xf numFmtId="0" fontId="53" fillId="0" borderId="0" xfId="0" applyFont="1" applyProtection="1">
      <protection locked="0"/>
    </xf>
    <xf numFmtId="0" fontId="59" fillId="0" borderId="0" xfId="0" quotePrefix="1" applyFont="1" applyAlignment="1" applyProtection="1">
      <alignment horizontal="left"/>
      <protection locked="0"/>
    </xf>
    <xf numFmtId="0" fontId="59" fillId="0" borderId="0" xfId="0" applyFont="1" applyProtection="1">
      <protection locked="0"/>
    </xf>
    <xf numFmtId="0" fontId="53" fillId="7" borderId="0" xfId="0" applyFont="1" applyFill="1" applyProtection="1">
      <protection locked="0"/>
    </xf>
    <xf numFmtId="0" fontId="59" fillId="7" borderId="0" xfId="0" applyFont="1" applyFill="1" applyProtection="1">
      <protection locked="0"/>
    </xf>
    <xf numFmtId="42" fontId="0" fillId="0" borderId="0" xfId="0" applyNumberFormat="1" applyProtection="1">
      <protection locked="0"/>
    </xf>
    <xf numFmtId="0" fontId="47" fillId="0" borderId="0" xfId="0" applyFont="1" applyProtection="1">
      <protection locked="0"/>
    </xf>
    <xf numFmtId="0" fontId="46" fillId="0" borderId="0" xfId="0" applyFont="1" applyProtection="1">
      <protection locked="0"/>
    </xf>
    <xf numFmtId="42" fontId="47" fillId="0" borderId="0" xfId="0" applyNumberFormat="1" applyFont="1" applyProtection="1">
      <protection locked="0"/>
    </xf>
    <xf numFmtId="49" fontId="38" fillId="0" borderId="0" xfId="14" applyNumberFormat="1" applyFont="1" applyBorder="1" applyProtection="1">
      <protection locked="0"/>
    </xf>
    <xf numFmtId="49" fontId="37" fillId="0" borderId="0" xfId="14" applyNumberFormat="1" applyFont="1" applyBorder="1" applyProtection="1">
      <protection locked="0"/>
    </xf>
    <xf numFmtId="43" fontId="38" fillId="0" borderId="0" xfId="5" applyFont="1" applyBorder="1" applyProtection="1">
      <protection locked="0"/>
    </xf>
    <xf numFmtId="42" fontId="37" fillId="0" borderId="0" xfId="0" applyNumberFormat="1" applyFont="1" applyProtection="1">
      <protection locked="0"/>
    </xf>
    <xf numFmtId="49" fontId="66" fillId="0" borderId="0" xfId="15" applyNumberFormat="1" applyFont="1" applyBorder="1" applyAlignment="1" applyProtection="1">
      <alignment horizontal="left"/>
      <protection locked="0"/>
    </xf>
    <xf numFmtId="49" fontId="41" fillId="0" borderId="0" xfId="15" applyNumberFormat="1" applyFont="1" applyBorder="1" applyAlignment="1" applyProtection="1">
      <alignment horizontal="left"/>
      <protection locked="0"/>
    </xf>
    <xf numFmtId="0" fontId="41" fillId="0" borderId="17" xfId="5" applyNumberFormat="1" applyFont="1" applyBorder="1" applyAlignment="1" applyProtection="1">
      <alignment horizontal="center"/>
      <protection locked="0"/>
    </xf>
    <xf numFmtId="0" fontId="37" fillId="0" borderId="17" xfId="0" quotePrefix="1" applyFont="1" applyBorder="1" applyAlignment="1" applyProtection="1">
      <alignment horizontal="center" wrapText="1"/>
      <protection locked="0"/>
    </xf>
    <xf numFmtId="49" fontId="66" fillId="0" borderId="0" xfId="13" applyNumberFormat="1" applyFont="1" applyBorder="1" applyProtection="1">
      <protection locked="0"/>
    </xf>
    <xf numFmtId="49" fontId="41" fillId="0" borderId="0" xfId="13" applyNumberFormat="1" applyFont="1" applyBorder="1" applyProtection="1">
      <protection locked="0"/>
    </xf>
    <xf numFmtId="43" fontId="66" fillId="0" borderId="0" xfId="5" applyFont="1" applyBorder="1" applyProtection="1">
      <protection locked="0"/>
    </xf>
    <xf numFmtId="49" fontId="66" fillId="0" borderId="0" xfId="16" applyNumberFormat="1" applyFont="1" applyBorder="1" applyProtection="1">
      <protection locked="0"/>
    </xf>
    <xf numFmtId="49" fontId="41" fillId="0" borderId="0" xfId="16" applyNumberFormat="1" applyFont="1" applyBorder="1" applyProtection="1">
      <protection locked="0"/>
    </xf>
    <xf numFmtId="0" fontId="66" fillId="0" borderId="0" xfId="17" applyFont="1" applyBorder="1" applyProtection="1">
      <protection locked="0"/>
    </xf>
    <xf numFmtId="0" fontId="41" fillId="0" borderId="0" xfId="17" applyFont="1" applyBorder="1" applyProtection="1">
      <protection locked="0"/>
    </xf>
    <xf numFmtId="44" fontId="66" fillId="0" borderId="0" xfId="5" applyNumberFormat="1" applyFont="1" applyBorder="1" applyProtection="1">
      <protection locked="0"/>
    </xf>
    <xf numFmtId="42" fontId="66" fillId="0" borderId="0" xfId="5" applyNumberFormat="1" applyFont="1" applyBorder="1" applyProtection="1">
      <protection locked="0"/>
    </xf>
    <xf numFmtId="41" fontId="66" fillId="0" borderId="0" xfId="5" applyNumberFormat="1" applyFont="1" applyBorder="1" applyProtection="1">
      <protection locked="0"/>
    </xf>
    <xf numFmtId="43" fontId="80" fillId="0" borderId="0" xfId="5" applyFont="1" applyBorder="1" applyProtection="1">
      <protection locked="0"/>
    </xf>
    <xf numFmtId="41" fontId="80" fillId="0" borderId="0" xfId="5" applyNumberFormat="1" applyFont="1" applyBorder="1" applyProtection="1">
      <protection locked="0"/>
    </xf>
    <xf numFmtId="0" fontId="41" fillId="0" borderId="0" xfId="18" applyFont="1" applyFill="1" applyBorder="1" applyProtection="1">
      <protection locked="0"/>
    </xf>
    <xf numFmtId="0" fontId="66" fillId="0" borderId="0" xfId="18" applyFont="1" applyFill="1" applyBorder="1" applyProtection="1">
      <protection locked="0"/>
    </xf>
    <xf numFmtId="44" fontId="80" fillId="0" borderId="0" xfId="12" applyFont="1" applyFill="1" applyBorder="1" applyProtection="1">
      <protection locked="0"/>
    </xf>
    <xf numFmtId="42" fontId="80" fillId="0" borderId="0" xfId="12" applyNumberFormat="1" applyFont="1" applyFill="1" applyBorder="1" applyProtection="1">
      <protection locked="0"/>
    </xf>
    <xf numFmtId="41" fontId="80" fillId="0" borderId="0" xfId="12" applyNumberFormat="1" applyFont="1" applyFill="1" applyBorder="1" applyProtection="1">
      <protection locked="0"/>
    </xf>
    <xf numFmtId="43" fontId="80" fillId="0" borderId="0" xfId="5" applyFont="1" applyFill="1" applyBorder="1" applyProtection="1">
      <protection locked="0"/>
    </xf>
    <xf numFmtId="41" fontId="80" fillId="0" borderId="0" xfId="5" applyNumberFormat="1" applyFont="1" applyFill="1" applyBorder="1" applyProtection="1">
      <protection locked="0"/>
    </xf>
    <xf numFmtId="42" fontId="80" fillId="0" borderId="0" xfId="5" applyNumberFormat="1" applyFont="1" applyFill="1" applyBorder="1" applyProtection="1">
      <protection locked="0"/>
    </xf>
    <xf numFmtId="0" fontId="41" fillId="0" borderId="0" xfId="19" applyFont="1" applyFill="1" applyBorder="1" applyProtection="1">
      <protection locked="0"/>
    </xf>
    <xf numFmtId="0" fontId="66" fillId="0" borderId="0" xfId="19" applyFont="1" applyFill="1" applyBorder="1" applyProtection="1">
      <protection locked="0"/>
    </xf>
    <xf numFmtId="0" fontId="66" fillId="0" borderId="0" xfId="20" applyFont="1" applyFill="1" applyBorder="1" applyProtection="1">
      <protection locked="0"/>
    </xf>
    <xf numFmtId="0" fontId="41" fillId="0" borderId="0" xfId="20" applyFont="1" applyFill="1" applyBorder="1" applyProtection="1">
      <protection locked="0"/>
    </xf>
    <xf numFmtId="44" fontId="81" fillId="0" borderId="0" xfId="12" applyFont="1" applyFill="1" applyBorder="1" applyProtection="1">
      <protection locked="0"/>
    </xf>
    <xf numFmtId="42" fontId="81" fillId="0" borderId="0" xfId="12" applyNumberFormat="1" applyFont="1" applyFill="1" applyBorder="1" applyProtection="1">
      <protection locked="0"/>
    </xf>
    <xf numFmtId="42" fontId="36" fillId="0" borderId="0" xfId="0" applyNumberFormat="1" applyFont="1" applyProtection="1">
      <protection locked="0"/>
    </xf>
    <xf numFmtId="44" fontId="36" fillId="0" borderId="0" xfId="0" applyNumberFormat="1" applyFont="1" applyProtection="1">
      <protection locked="0"/>
    </xf>
    <xf numFmtId="0" fontId="52" fillId="0" borderId="0" xfId="0" applyFont="1" applyProtection="1">
      <protection locked="0"/>
    </xf>
    <xf numFmtId="42" fontId="52" fillId="0" borderId="0" xfId="0" applyNumberFormat="1" applyFont="1" applyProtection="1">
      <protection locked="0"/>
    </xf>
    <xf numFmtId="14" fontId="43" fillId="12" borderId="2" xfId="0" applyNumberFormat="1" applyFont="1" applyFill="1" applyBorder="1" applyProtection="1">
      <protection locked="0"/>
    </xf>
    <xf numFmtId="0" fontId="43" fillId="0" borderId="2" xfId="0" applyFont="1" applyBorder="1" applyProtection="1">
      <protection locked="0"/>
    </xf>
    <xf numFmtId="0" fontId="25" fillId="0" borderId="0" xfId="0" quotePrefix="1" applyFont="1" applyAlignment="1" applyProtection="1">
      <alignment horizontal="left"/>
      <protection locked="0"/>
    </xf>
    <xf numFmtId="14" fontId="25" fillId="7" borderId="0" xfId="0" applyNumberFormat="1" applyFont="1" applyFill="1" applyProtection="1">
      <protection locked="0"/>
    </xf>
    <xf numFmtId="22" fontId="25" fillId="7" borderId="0" xfId="0" applyNumberFormat="1" applyFont="1" applyFill="1" applyProtection="1">
      <protection locked="0"/>
    </xf>
    <xf numFmtId="0" fontId="69" fillId="0" borderId="0" xfId="0" applyFont="1" applyProtection="1">
      <protection locked="0"/>
    </xf>
    <xf numFmtId="0" fontId="69" fillId="7" borderId="0" xfId="0" applyFont="1" applyFill="1" applyProtection="1">
      <protection locked="0"/>
    </xf>
    <xf numFmtId="0" fontId="2" fillId="0" borderId="0" xfId="12" applyNumberFormat="1" applyFont="1" applyAlignment="1" applyProtection="1">
      <alignment horizontal="center"/>
      <protection locked="0"/>
    </xf>
    <xf numFmtId="0" fontId="46" fillId="0" borderId="24" xfId="0" applyFont="1" applyBorder="1" applyAlignment="1" applyProtection="1">
      <alignment horizontal="center"/>
      <protection locked="0"/>
    </xf>
    <xf numFmtId="0" fontId="64" fillId="0" borderId="0" xfId="0" quotePrefix="1" applyFont="1" applyBorder="1" applyAlignment="1" applyProtection="1">
      <alignment horizontal="left"/>
      <protection locked="0"/>
    </xf>
    <xf numFmtId="0" fontId="47" fillId="7" borderId="0" xfId="0" applyFont="1" applyFill="1" applyProtection="1">
      <protection locked="0"/>
    </xf>
    <xf numFmtId="0" fontId="2" fillId="0" borderId="24" xfId="0" applyFont="1" applyBorder="1" applyProtection="1">
      <protection locked="0"/>
    </xf>
    <xf numFmtId="0" fontId="75" fillId="0" borderId="0" xfId="0" quotePrefix="1" applyFont="1" applyAlignment="1" applyProtection="1">
      <alignment horizontal="right"/>
      <protection locked="0"/>
    </xf>
    <xf numFmtId="0" fontId="2" fillId="0" borderId="30" xfId="0" applyFont="1" applyBorder="1" applyProtection="1">
      <protection locked="0"/>
    </xf>
    <xf numFmtId="0" fontId="76" fillId="0" borderId="0" xfId="0" quotePrefix="1" applyFont="1" applyAlignment="1" applyProtection="1">
      <alignment horizontal="left"/>
      <protection locked="0"/>
    </xf>
    <xf numFmtId="0" fontId="2" fillId="0" borderId="2" xfId="0" quotePrefix="1" applyFont="1" applyBorder="1" applyAlignment="1" applyProtection="1">
      <alignment horizontal="left"/>
      <protection locked="0"/>
    </xf>
    <xf numFmtId="0" fontId="75" fillId="0" borderId="2" xfId="0" quotePrefix="1" applyFont="1" applyBorder="1" applyAlignment="1" applyProtection="1">
      <alignment horizontal="left"/>
      <protection locked="0"/>
    </xf>
    <xf numFmtId="0" fontId="2" fillId="0" borderId="0" xfId="0" applyFont="1" applyAlignment="1" applyProtection="1">
      <alignment horizontal="right"/>
      <protection locked="0"/>
    </xf>
    <xf numFmtId="0" fontId="2" fillId="0" borderId="2" xfId="0" applyFont="1" applyBorder="1" applyAlignment="1" applyProtection="1">
      <alignment horizontal="left"/>
      <protection locked="0"/>
    </xf>
    <xf numFmtId="0" fontId="74" fillId="0" borderId="0" xfId="0" quotePrefix="1" applyFont="1" applyAlignment="1" applyProtection="1">
      <alignment horizontal="right"/>
      <protection locked="0"/>
    </xf>
    <xf numFmtId="0" fontId="27" fillId="0" borderId="24" xfId="0" quotePrefix="1" applyFont="1" applyBorder="1" applyAlignment="1" applyProtection="1">
      <alignment horizontal="left"/>
      <protection locked="0"/>
    </xf>
    <xf numFmtId="0" fontId="74" fillId="0" borderId="0" xfId="0" quotePrefix="1" applyFont="1" applyAlignment="1" applyProtection="1">
      <alignment horizontal="left"/>
      <protection locked="0"/>
    </xf>
    <xf numFmtId="0" fontId="46" fillId="0" borderId="0" xfId="0" quotePrefix="1" applyFont="1" applyAlignment="1" applyProtection="1">
      <alignment horizontal="left"/>
      <protection locked="0"/>
    </xf>
    <xf numFmtId="0" fontId="47" fillId="0" borderId="0" xfId="0" quotePrefix="1" applyFont="1" applyBorder="1" applyAlignment="1" applyProtection="1">
      <alignment horizontal="left"/>
      <protection locked="0"/>
    </xf>
    <xf numFmtId="0" fontId="27" fillId="11" borderId="0" xfId="0" applyFont="1" applyFill="1" applyAlignment="1" applyProtection="1">
      <protection locked="0"/>
    </xf>
    <xf numFmtId="0" fontId="2" fillId="11" borderId="0" xfId="0" applyFont="1" applyFill="1" applyAlignment="1" applyProtection="1">
      <alignment horizontal="center"/>
      <protection locked="0"/>
    </xf>
    <xf numFmtId="0" fontId="2" fillId="11" borderId="0" xfId="0" applyFont="1" applyFill="1" applyAlignment="1" applyProtection="1">
      <protection locked="0"/>
    </xf>
    <xf numFmtId="0" fontId="27" fillId="11" borderId="24" xfId="0" applyFont="1" applyFill="1" applyBorder="1" applyAlignment="1" applyProtection="1">
      <protection locked="0"/>
    </xf>
    <xf numFmtId="0" fontId="27" fillId="11" borderId="24" xfId="0" applyFont="1" applyFill="1" applyBorder="1" applyAlignment="1" applyProtection="1">
      <alignment horizontal="center"/>
      <protection locked="0"/>
    </xf>
    <xf numFmtId="0" fontId="2" fillId="7" borderId="0" xfId="0" applyFont="1" applyFill="1" applyAlignment="1" applyProtection="1">
      <alignment horizontal="center"/>
      <protection locked="0"/>
    </xf>
    <xf numFmtId="0" fontId="2" fillId="11" borderId="0" xfId="0" quotePrefix="1" applyFont="1" applyFill="1" applyAlignment="1" applyProtection="1">
      <alignment horizontal="left"/>
      <protection locked="0"/>
    </xf>
    <xf numFmtId="0" fontId="26" fillId="11" borderId="0" xfId="11" applyFill="1" applyAlignment="1" applyProtection="1">
      <protection locked="0"/>
    </xf>
    <xf numFmtId="0" fontId="27" fillId="0" borderId="0" xfId="0" applyFont="1" applyAlignment="1" applyProtection="1">
      <alignment horizontal="center"/>
      <protection locked="0"/>
    </xf>
    <xf numFmtId="0" fontId="27" fillId="0" borderId="0" xfId="0" applyFont="1" applyAlignment="1" applyProtection="1">
      <alignment horizontal="center" wrapText="1"/>
      <protection locked="0"/>
    </xf>
    <xf numFmtId="0" fontId="74" fillId="0" borderId="0" xfId="0" applyFont="1" applyProtection="1">
      <protection locked="0"/>
    </xf>
    <xf numFmtId="1" fontId="2" fillId="0" borderId="0" xfId="0" applyNumberFormat="1" applyFont="1" applyAlignment="1" applyProtection="1">
      <alignment horizontal="center"/>
      <protection locked="0"/>
    </xf>
    <xf numFmtId="0" fontId="74" fillId="0" borderId="0" xfId="0" applyFont="1" applyAlignment="1" applyProtection="1">
      <alignment horizontal="center"/>
      <protection locked="0"/>
    </xf>
    <xf numFmtId="44" fontId="74" fillId="0" borderId="0" xfId="12" applyFont="1" applyProtection="1">
      <protection locked="0"/>
    </xf>
    <xf numFmtId="0" fontId="74" fillId="0" borderId="0" xfId="0" quotePrefix="1" applyFont="1" applyAlignment="1" applyProtection="1">
      <alignment horizontal="center"/>
      <protection locked="0"/>
    </xf>
    <xf numFmtId="0" fontId="74" fillId="0" borderId="0" xfId="0" quotePrefix="1" applyFont="1" applyAlignment="1" applyProtection="1">
      <alignment horizontal="left" wrapText="1"/>
      <protection locked="0"/>
    </xf>
    <xf numFmtId="0" fontId="74" fillId="0" borderId="0" xfId="0" quotePrefix="1" applyFont="1" applyAlignment="1" applyProtection="1">
      <alignment horizontal="center" wrapText="1"/>
      <protection locked="0"/>
    </xf>
    <xf numFmtId="0" fontId="2" fillId="0" borderId="31" xfId="0" applyFont="1" applyBorder="1" applyProtection="1">
      <protection locked="0"/>
    </xf>
    <xf numFmtId="0" fontId="64" fillId="0" borderId="32" xfId="0" applyFont="1" applyBorder="1" applyProtection="1">
      <protection locked="0"/>
    </xf>
    <xf numFmtId="0" fontId="2" fillId="0" borderId="32" xfId="0" applyFont="1" applyBorder="1" applyProtection="1">
      <protection locked="0"/>
    </xf>
    <xf numFmtId="0" fontId="64" fillId="0" borderId="32" xfId="0" applyFont="1" applyBorder="1" applyAlignment="1" applyProtection="1">
      <alignment horizontal="left" vertical="top" wrapText="1"/>
      <protection locked="0"/>
    </xf>
    <xf numFmtId="0" fontId="64" fillId="0" borderId="30" xfId="0" applyFont="1" applyBorder="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64" fillId="0" borderId="31" xfId="0" applyFont="1" applyBorder="1" applyAlignment="1" applyProtection="1">
      <alignment horizontal="left" vertical="top" wrapText="1"/>
      <protection locked="0"/>
    </xf>
    <xf numFmtId="49" fontId="60" fillId="0" borderId="0" xfId="0" applyNumberFormat="1" applyFont="1" applyAlignment="1" applyProtection="1">
      <alignment horizontal="left"/>
      <protection locked="0"/>
    </xf>
    <xf numFmtId="49" fontId="60" fillId="0" borderId="0" xfId="0" applyNumberFormat="1" applyFont="1" applyAlignment="1" applyProtection="1">
      <alignment horizontal="left" indent="1"/>
      <protection locked="0"/>
    </xf>
    <xf numFmtId="0" fontId="72" fillId="0" borderId="0" xfId="0" quotePrefix="1" applyFont="1" applyAlignment="1" applyProtection="1">
      <alignment horizontal="left"/>
      <protection locked="0"/>
    </xf>
    <xf numFmtId="37" fontId="37" fillId="0" borderId="2" xfId="5" applyNumberFormat="1" applyFont="1" applyBorder="1" applyProtection="1">
      <protection locked="0"/>
    </xf>
    <xf numFmtId="10" fontId="37" fillId="0" borderId="2" xfId="9" applyNumberFormat="1" applyFont="1" applyBorder="1" applyProtection="1">
      <protection locked="0"/>
    </xf>
    <xf numFmtId="37" fontId="37" fillId="0" borderId="2" xfId="5" quotePrefix="1" applyNumberFormat="1" applyFont="1" applyBorder="1" applyAlignment="1" applyProtection="1">
      <alignment horizontal="right"/>
      <protection locked="0"/>
    </xf>
    <xf numFmtId="43" fontId="0" fillId="0" borderId="0" xfId="5" applyFont="1" applyProtection="1">
      <protection locked="0"/>
    </xf>
    <xf numFmtId="164" fontId="0" fillId="0" borderId="0" xfId="5" applyNumberFormat="1" applyFont="1" applyProtection="1">
      <protection locked="0"/>
    </xf>
    <xf numFmtId="164" fontId="27" fillId="0" borderId="26" xfId="5" applyNumberFormat="1" applyFont="1" applyBorder="1" applyProtection="1">
      <protection locked="0"/>
    </xf>
    <xf numFmtId="10" fontId="37" fillId="0" borderId="0" xfId="9" applyNumberFormat="1" applyFont="1" applyProtection="1">
      <protection locked="0"/>
    </xf>
    <xf numFmtId="10" fontId="0" fillId="0" borderId="0" xfId="9" applyNumberFormat="1" applyFont="1" applyProtection="1">
      <protection locked="0"/>
    </xf>
    <xf numFmtId="164" fontId="37" fillId="0" borderId="23" xfId="5" applyNumberFormat="1" applyFont="1" applyBorder="1" applyProtection="1">
      <protection locked="0"/>
    </xf>
    <xf numFmtId="164" fontId="27" fillId="0" borderId="23" xfId="5" applyNumberFormat="1" applyFont="1" applyBorder="1" applyProtection="1">
      <protection locked="0"/>
    </xf>
    <xf numFmtId="0" fontId="33" fillId="0" borderId="0" xfId="0" quotePrefix="1" applyFont="1" applyAlignment="1" applyProtection="1">
      <alignment horizontal="left"/>
      <protection locked="0"/>
    </xf>
    <xf numFmtId="0" fontId="25" fillId="0" borderId="0" xfId="0" quotePrefix="1" applyFont="1" applyBorder="1" applyAlignment="1" applyProtection="1">
      <alignment horizontal="left"/>
      <protection locked="0"/>
    </xf>
    <xf numFmtId="0" fontId="2" fillId="0" borderId="0" xfId="0" applyFont="1" applyBorder="1" applyAlignment="1" applyProtection="1">
      <alignment horizontal="center" vertical="top"/>
      <protection locked="0"/>
    </xf>
    <xf numFmtId="0" fontId="2" fillId="0" borderId="0" xfId="0" applyFont="1" applyBorder="1" applyProtection="1">
      <protection locked="0"/>
    </xf>
    <xf numFmtId="0" fontId="27" fillId="0" borderId="0" xfId="0" applyFont="1" applyBorder="1" applyProtection="1">
      <protection locked="0"/>
    </xf>
    <xf numFmtId="0" fontId="27" fillId="0" borderId="0" xfId="0" applyFont="1" applyBorder="1" applyAlignment="1" applyProtection="1">
      <alignment horizontal="center" vertical="top"/>
      <protection locked="0"/>
    </xf>
    <xf numFmtId="0" fontId="2" fillId="7" borderId="2" xfId="0" applyFont="1" applyFill="1" applyBorder="1" applyProtection="1">
      <protection locked="0"/>
    </xf>
    <xf numFmtId="0" fontId="2" fillId="7" borderId="2" xfId="0" applyFont="1" applyFill="1" applyBorder="1" applyAlignment="1" applyProtection="1">
      <alignment horizontal="center" vertical="top"/>
      <protection locked="0"/>
    </xf>
    <xf numFmtId="0" fontId="2" fillId="7" borderId="2" xfId="0" quotePrefix="1" applyFont="1" applyFill="1" applyBorder="1" applyAlignment="1" applyProtection="1">
      <alignment horizontal="left"/>
      <protection locked="0"/>
    </xf>
    <xf numFmtId="0" fontId="27" fillId="0" borderId="24" xfId="0" quotePrefix="1" applyFont="1" applyBorder="1" applyAlignment="1" applyProtection="1">
      <alignment horizontal="center" vertical="top"/>
      <protection locked="0"/>
    </xf>
    <xf numFmtId="0" fontId="2" fillId="0" borderId="2" xfId="0" applyFont="1" applyBorder="1" applyAlignment="1" applyProtection="1">
      <alignment horizontal="center"/>
      <protection locked="0"/>
    </xf>
    <xf numFmtId="0" fontId="27" fillId="0" borderId="29" xfId="0" quotePrefix="1" applyFont="1" applyBorder="1" applyAlignment="1" applyProtection="1">
      <alignment horizontal="center" wrapText="1"/>
      <protection locked="0"/>
    </xf>
    <xf numFmtId="16" fontId="27" fillId="0" borderId="29" xfId="0" applyNumberFormat="1" applyFont="1" applyBorder="1" applyAlignment="1" applyProtection="1">
      <alignment horizontal="center" wrapText="1"/>
      <protection locked="0"/>
    </xf>
    <xf numFmtId="0" fontId="27" fillId="0" borderId="29" xfId="0" applyFont="1" applyBorder="1" applyAlignment="1" applyProtection="1">
      <alignment horizontal="center" wrapText="1"/>
      <protection locked="0"/>
    </xf>
    <xf numFmtId="0" fontId="70" fillId="0" borderId="30" xfId="0" quotePrefix="1" applyFont="1" applyBorder="1" applyAlignment="1" applyProtection="1">
      <alignment horizontal="center" wrapText="1"/>
      <protection locked="0"/>
    </xf>
    <xf numFmtId="0" fontId="70" fillId="0" borderId="30" xfId="0" applyFont="1" applyBorder="1" applyAlignment="1" applyProtection="1">
      <alignment horizontal="center" wrapText="1"/>
      <protection locked="0"/>
    </xf>
    <xf numFmtId="8" fontId="2" fillId="0" borderId="2" xfId="0" applyNumberFormat="1" applyFont="1" applyBorder="1" applyProtection="1">
      <protection locked="0"/>
    </xf>
    <xf numFmtId="0" fontId="2" fillId="0" borderId="6" xfId="0" applyFont="1" applyBorder="1" applyProtection="1">
      <protection locked="0"/>
    </xf>
    <xf numFmtId="0" fontId="2" fillId="0" borderId="7" xfId="0" applyFont="1" applyBorder="1" applyProtection="1">
      <protection locked="0"/>
    </xf>
    <xf numFmtId="0" fontId="2" fillId="0" borderId="7" xfId="0" applyFont="1" applyBorder="1" applyAlignment="1" applyProtection="1">
      <alignment horizontal="center"/>
      <protection locked="0"/>
    </xf>
    <xf numFmtId="44" fontId="2" fillId="0" borderId="2" xfId="12" applyFont="1" applyBorder="1" applyAlignment="1" applyProtection="1">
      <alignment horizontal="center"/>
      <protection locked="0"/>
    </xf>
    <xf numFmtId="44" fontId="2" fillId="0" borderId="27" xfId="0" applyNumberFormat="1" applyFont="1" applyBorder="1" applyProtection="1">
      <protection locked="0"/>
    </xf>
    <xf numFmtId="0" fontId="25" fillId="11" borderId="0" xfId="0" applyFont="1" applyFill="1" applyAlignment="1" applyProtection="1">
      <protection locked="0"/>
    </xf>
    <xf numFmtId="0" fontId="27" fillId="11" borderId="24" xfId="0" quotePrefix="1" applyFont="1" applyFill="1" applyBorder="1" applyAlignment="1" applyProtection="1">
      <alignment horizontal="center"/>
      <protection locked="0"/>
    </xf>
    <xf numFmtId="0" fontId="2" fillId="11" borderId="24" xfId="0" applyFont="1" applyFill="1" applyBorder="1" applyAlignment="1" applyProtection="1">
      <protection locked="0"/>
    </xf>
    <xf numFmtId="164" fontId="27" fillId="0" borderId="24" xfId="5" applyNumberFormat="1" applyFont="1" applyBorder="1" applyAlignment="1" applyProtection="1">
      <alignment horizontal="center" wrapText="1"/>
      <protection locked="0"/>
    </xf>
    <xf numFmtId="0" fontId="2" fillId="0" borderId="0"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164" fontId="2" fillId="0" borderId="0" xfId="5" applyNumberFormat="1" applyFont="1" applyBorder="1" applyProtection="1">
      <protection locked="0"/>
    </xf>
    <xf numFmtId="43" fontId="41" fillId="0" borderId="24" xfId="5" applyFont="1" applyBorder="1" applyAlignment="1" applyProtection="1">
      <alignment horizontal="center"/>
      <protection locked="0"/>
    </xf>
    <xf numFmtId="43" fontId="41" fillId="0" borderId="0" xfId="5" applyFont="1" applyBorder="1" applyAlignment="1" applyProtection="1">
      <alignment horizontal="center"/>
      <protection locked="0"/>
    </xf>
    <xf numFmtId="43" fontId="66" fillId="0" borderId="0" xfId="5" applyFont="1" applyProtection="1">
      <protection locked="0"/>
    </xf>
    <xf numFmtId="43" fontId="38" fillId="0" borderId="0" xfId="5" applyFont="1" applyProtection="1">
      <protection locked="0"/>
    </xf>
    <xf numFmtId="43" fontId="38" fillId="0" borderId="23" xfId="5" applyFont="1" applyBorder="1" applyProtection="1">
      <protection locked="0"/>
    </xf>
    <xf numFmtId="0" fontId="34" fillId="0" borderId="0" xfId="0" applyFont="1" applyProtection="1">
      <protection locked="0"/>
    </xf>
    <xf numFmtId="0" fontId="65" fillId="0" borderId="0" xfId="0" applyFont="1" applyProtection="1">
      <protection locked="0"/>
    </xf>
    <xf numFmtId="43" fontId="0" fillId="0" borderId="23" xfId="0" quotePrefix="1" applyNumberFormat="1" applyBorder="1" applyProtection="1">
      <protection locked="0"/>
    </xf>
    <xf numFmtId="164" fontId="2" fillId="7" borderId="0" xfId="5" quotePrefix="1" applyNumberFormat="1" applyFont="1" applyFill="1" applyBorder="1" applyProtection="1">
      <protection locked="0"/>
    </xf>
    <xf numFmtId="164" fontId="2" fillId="0" borderId="23" xfId="5" quotePrefix="1" applyNumberFormat="1" applyFont="1" applyBorder="1" applyProtection="1">
      <protection locked="0"/>
    </xf>
    <xf numFmtId="0" fontId="54" fillId="0" borderId="0" xfId="0" applyFont="1" applyAlignment="1" applyProtection="1">
      <alignment horizontal="center"/>
      <protection locked="0"/>
    </xf>
    <xf numFmtId="0" fontId="45" fillId="0" borderId="0" xfId="0" applyFont="1" applyProtection="1">
      <protection locked="0"/>
    </xf>
    <xf numFmtId="167" fontId="47" fillId="12" borderId="2" xfId="0" applyNumberFormat="1" applyFont="1" applyFill="1" applyBorder="1" applyAlignment="1" applyProtection="1">
      <alignment horizontal="center"/>
      <protection locked="0"/>
    </xf>
    <xf numFmtId="0" fontId="47" fillId="0" borderId="0" xfId="0" quotePrefix="1" applyFont="1" applyAlignment="1" applyProtection="1">
      <alignment horizontal="left"/>
      <protection locked="0"/>
    </xf>
    <xf numFmtId="10" fontId="47" fillId="12" borderId="2" xfId="0" applyNumberFormat="1" applyFont="1" applyFill="1" applyBorder="1" applyAlignment="1" applyProtection="1">
      <alignment horizontal="center"/>
      <protection locked="0"/>
    </xf>
    <xf numFmtId="49" fontId="47" fillId="0" borderId="0" xfId="14" applyNumberFormat="1" applyFont="1" applyBorder="1" applyProtection="1">
      <protection locked="0"/>
    </xf>
    <xf numFmtId="43" fontId="47" fillId="0" borderId="0" xfId="5" applyFont="1" applyBorder="1" applyProtection="1">
      <protection locked="0"/>
    </xf>
    <xf numFmtId="43" fontId="46" fillId="0" borderId="0" xfId="5" applyFont="1" applyBorder="1" applyProtection="1">
      <protection locked="0"/>
    </xf>
    <xf numFmtId="49" fontId="60" fillId="0" borderId="0" xfId="15" applyNumberFormat="1" applyFont="1" applyBorder="1" applyAlignment="1" applyProtection="1">
      <alignment horizontal="left"/>
      <protection locked="0"/>
    </xf>
    <xf numFmtId="0" fontId="60" fillId="0" borderId="24" xfId="5" applyNumberFormat="1" applyFont="1" applyBorder="1" applyAlignment="1" applyProtection="1">
      <alignment horizontal="center"/>
      <protection locked="0"/>
    </xf>
    <xf numFmtId="0" fontId="48" fillId="0" borderId="24" xfId="5" applyNumberFormat="1" applyFont="1" applyBorder="1" applyAlignment="1" applyProtection="1">
      <alignment horizontal="center"/>
      <protection locked="0"/>
    </xf>
    <xf numFmtId="49" fontId="46" fillId="0" borderId="0" xfId="0" applyNumberFormat="1" applyFont="1" applyProtection="1">
      <protection locked="0"/>
    </xf>
    <xf numFmtId="49" fontId="60" fillId="0" borderId="0" xfId="13" applyNumberFormat="1" applyFont="1" applyBorder="1" applyProtection="1">
      <protection locked="0"/>
    </xf>
    <xf numFmtId="43" fontId="60" fillId="0" borderId="0" xfId="5" applyFont="1" applyBorder="1" applyProtection="1">
      <protection locked="0"/>
    </xf>
    <xf numFmtId="43" fontId="48" fillId="0" borderId="0" xfId="5" applyFont="1" applyBorder="1" applyProtection="1">
      <protection locked="0"/>
    </xf>
    <xf numFmtId="49" fontId="60" fillId="0" borderId="0" xfId="16" applyNumberFormat="1" applyFont="1" applyBorder="1" applyProtection="1">
      <protection locked="0"/>
    </xf>
    <xf numFmtId="167" fontId="55" fillId="0" borderId="0" xfId="9" applyNumberFormat="1" applyFont="1" applyAlignment="1" applyProtection="1">
      <alignment horizontal="center"/>
      <protection locked="0"/>
    </xf>
    <xf numFmtId="0" fontId="60" fillId="0" borderId="0" xfId="17" applyFont="1" applyBorder="1" applyProtection="1">
      <protection locked="0"/>
    </xf>
    <xf numFmtId="44" fontId="60" fillId="0" borderId="0" xfId="5" applyNumberFormat="1" applyFont="1" applyBorder="1" applyProtection="1">
      <protection locked="0"/>
    </xf>
    <xf numFmtId="44" fontId="48" fillId="0" borderId="0" xfId="5" applyNumberFormat="1" applyFont="1" applyBorder="1" applyProtection="1">
      <protection locked="0"/>
    </xf>
    <xf numFmtId="43" fontId="61" fillId="0" borderId="0" xfId="5" applyFont="1" applyBorder="1" applyProtection="1">
      <protection locked="0"/>
    </xf>
    <xf numFmtId="43" fontId="49" fillId="0" borderId="0" xfId="5" applyFont="1" applyBorder="1" applyProtection="1">
      <protection locked="0"/>
    </xf>
    <xf numFmtId="0" fontId="60" fillId="0" borderId="0" xfId="18" applyFont="1" applyFill="1" applyBorder="1" applyProtection="1">
      <protection locked="0"/>
    </xf>
    <xf numFmtId="44" fontId="61" fillId="7" borderId="0" xfId="12" applyFont="1" applyFill="1" applyBorder="1" applyProtection="1">
      <protection locked="0"/>
    </xf>
    <xf numFmtId="44" fontId="49" fillId="7" borderId="0" xfId="12" applyFont="1" applyFill="1" applyBorder="1" applyProtection="1">
      <protection locked="0"/>
    </xf>
    <xf numFmtId="44" fontId="61" fillId="0" borderId="0" xfId="12" applyFont="1" applyFill="1" applyBorder="1" applyProtection="1">
      <protection locked="0"/>
    </xf>
    <xf numFmtId="44" fontId="49" fillId="0" borderId="0" xfId="12" applyFont="1" applyFill="1" applyBorder="1" applyProtection="1">
      <protection locked="0"/>
    </xf>
    <xf numFmtId="9" fontId="60" fillId="0" borderId="0" xfId="9" applyFont="1" applyFill="1" applyBorder="1" applyProtection="1">
      <protection locked="0"/>
    </xf>
    <xf numFmtId="9" fontId="48" fillId="0" borderId="0" xfId="9" applyFont="1" applyFill="1" applyBorder="1" applyProtection="1">
      <protection locked="0"/>
    </xf>
    <xf numFmtId="43" fontId="61" fillId="0" borderId="0" xfId="5" applyFont="1" applyFill="1" applyBorder="1" applyProtection="1">
      <protection locked="0"/>
    </xf>
    <xf numFmtId="43" fontId="49" fillId="0" borderId="0" xfId="5" applyFont="1" applyFill="1" applyBorder="1" applyProtection="1">
      <protection locked="0"/>
    </xf>
    <xf numFmtId="43" fontId="61" fillId="7" borderId="0" xfId="5" applyFont="1" applyFill="1" applyBorder="1" applyProtection="1">
      <protection locked="0"/>
    </xf>
    <xf numFmtId="43" fontId="49" fillId="7" borderId="0" xfId="5" applyFont="1" applyFill="1" applyBorder="1" applyProtection="1">
      <protection locked="0"/>
    </xf>
    <xf numFmtId="43" fontId="46" fillId="7" borderId="0" xfId="5" applyFont="1" applyFill="1" applyAlignment="1" applyProtection="1">
      <alignment horizontal="center"/>
      <protection locked="0"/>
    </xf>
    <xf numFmtId="0" fontId="60" fillId="0" borderId="0" xfId="19" applyFont="1" applyFill="1" applyBorder="1" applyProtection="1">
      <protection locked="0"/>
    </xf>
    <xf numFmtId="0" fontId="60" fillId="0" borderId="0" xfId="20" applyFont="1" applyFill="1" applyBorder="1" applyProtection="1">
      <protection locked="0"/>
    </xf>
    <xf numFmtId="44" fontId="62" fillId="0" borderId="0" xfId="12" applyFont="1" applyFill="1" applyBorder="1" applyProtection="1">
      <protection locked="0"/>
    </xf>
    <xf numFmtId="44" fontId="50" fillId="0" borderId="0" xfId="12" applyFont="1" applyFill="1" applyBorder="1" applyProtection="1">
      <protection locked="0"/>
    </xf>
    <xf numFmtId="0" fontId="22" fillId="0" borderId="17" xfId="0" applyFont="1" applyBorder="1" applyAlignment="1" applyProtection="1">
      <alignment horizontal="center"/>
      <protection locked="0"/>
    </xf>
    <xf numFmtId="0" fontId="56" fillId="0" borderId="0" xfId="0" applyFont="1" applyProtection="1">
      <protection locked="0"/>
    </xf>
    <xf numFmtId="0" fontId="0" fillId="0" borderId="26" xfId="0" applyBorder="1" applyProtection="1">
      <protection locked="0"/>
    </xf>
    <xf numFmtId="0" fontId="57" fillId="0" borderId="0" xfId="0" applyFont="1" applyProtection="1">
      <protection locked="0"/>
    </xf>
    <xf numFmtId="0" fontId="57" fillId="0" borderId="26" xfId="0" applyFont="1" applyBorder="1" applyProtection="1">
      <protection locked="0"/>
    </xf>
    <xf numFmtId="0" fontId="58" fillId="0" borderId="0" xfId="0" applyFont="1" applyProtection="1">
      <protection locked="0"/>
    </xf>
    <xf numFmtId="0" fontId="57" fillId="13" borderId="28" xfId="0" applyFont="1" applyFill="1" applyBorder="1" applyProtection="1">
      <protection locked="0"/>
    </xf>
    <xf numFmtId="0" fontId="33" fillId="0" borderId="0" xfId="0" applyFont="1" applyProtection="1">
      <protection locked="0"/>
    </xf>
    <xf numFmtId="0" fontId="0" fillId="11" borderId="0" xfId="0" applyFont="1" applyFill="1" applyBorder="1" applyProtection="1">
      <protection locked="0"/>
    </xf>
    <xf numFmtId="0" fontId="0" fillId="0" borderId="0" xfId="0" applyFont="1" applyProtection="1">
      <protection locked="0"/>
    </xf>
    <xf numFmtId="0" fontId="22" fillId="0" borderId="0" xfId="0" quotePrefix="1" applyFont="1" applyAlignment="1" applyProtection="1">
      <alignment horizontal="left"/>
      <protection locked="0"/>
    </xf>
    <xf numFmtId="0" fontId="22" fillId="0" borderId="0" xfId="0" applyFont="1" applyAlignment="1" applyProtection="1">
      <protection locked="0"/>
    </xf>
    <xf numFmtId="0" fontId="0" fillId="0" borderId="0" xfId="0" applyFont="1" applyAlignment="1" applyProtection="1">
      <protection locked="0"/>
    </xf>
    <xf numFmtId="0" fontId="22" fillId="0" borderId="2" xfId="0" applyFont="1" applyBorder="1" applyAlignment="1" applyProtection="1">
      <alignment horizontal="center"/>
      <protection locked="0"/>
    </xf>
    <xf numFmtId="0" fontId="0" fillId="11" borderId="0" xfId="0" applyFont="1" applyFill="1" applyProtection="1">
      <protection locked="0"/>
    </xf>
    <xf numFmtId="164" fontId="0" fillId="0" borderId="2" xfId="5" applyNumberFormat="1" applyFont="1" applyBorder="1" applyAlignment="1" applyProtection="1">
      <alignment horizontal="right" vertical="top"/>
      <protection locked="0"/>
    </xf>
    <xf numFmtId="164" fontId="0" fillId="0" borderId="2" xfId="5" applyNumberFormat="1" applyFont="1" applyBorder="1" applyAlignment="1" applyProtection="1">
      <protection locked="0"/>
    </xf>
    <xf numFmtId="9" fontId="0" fillId="0" borderId="2" xfId="9" applyFont="1" applyBorder="1" applyAlignment="1" applyProtection="1">
      <alignment horizontal="center" vertical="top"/>
      <protection locked="0"/>
    </xf>
    <xf numFmtId="9" fontId="0" fillId="0" borderId="0" xfId="9" quotePrefix="1" applyFont="1" applyAlignment="1" applyProtection="1">
      <alignment horizontal="left" vertical="top"/>
      <protection locked="0"/>
    </xf>
    <xf numFmtId="164" fontId="0" fillId="7" borderId="2" xfId="5" applyNumberFormat="1" applyFont="1" applyFill="1" applyBorder="1" applyAlignment="1" applyProtection="1">
      <alignment horizontal="right" vertical="top"/>
      <protection locked="0"/>
    </xf>
    <xf numFmtId="1" fontId="0" fillId="0" borderId="0" xfId="0" applyNumberFormat="1" applyAlignment="1" applyProtection="1">
      <alignment horizontal="right" vertical="top"/>
      <protection locked="0"/>
    </xf>
    <xf numFmtId="0" fontId="0" fillId="7" borderId="2" xfId="0" applyFont="1" applyFill="1" applyBorder="1" applyAlignment="1" applyProtection="1">
      <alignment horizontal="center"/>
      <protection locked="0"/>
    </xf>
    <xf numFmtId="0" fontId="22" fillId="0" borderId="0" xfId="0" quotePrefix="1" applyFont="1" applyAlignment="1" applyProtection="1">
      <alignment horizontal="center"/>
      <protection locked="0"/>
    </xf>
    <xf numFmtId="0" fontId="22" fillId="0" borderId="0" xfId="0" applyFont="1" applyAlignment="1" applyProtection="1">
      <alignment horizontal="center"/>
      <protection locked="0"/>
    </xf>
    <xf numFmtId="9" fontId="0" fillId="0" borderId="0" xfId="9" applyFont="1" applyAlignment="1" applyProtection="1">
      <alignment horizontal="left" vertical="top"/>
      <protection locked="0"/>
    </xf>
    <xf numFmtId="164" fontId="0" fillId="0" borderId="2" xfId="5" applyNumberFormat="1" applyFont="1" applyBorder="1" applyProtection="1">
      <protection locked="0"/>
    </xf>
    <xf numFmtId="9" fontId="0" fillId="0" borderId="2" xfId="9" applyFont="1" applyBorder="1" applyAlignment="1" applyProtection="1">
      <alignment horizontal="right" vertical="top"/>
      <protection locked="0"/>
    </xf>
    <xf numFmtId="9" fontId="0" fillId="0" borderId="2" xfId="9" applyFont="1" applyBorder="1" applyProtection="1">
      <protection locked="0"/>
    </xf>
    <xf numFmtId="9" fontId="0" fillId="0" borderId="0" xfId="9" applyFont="1" applyProtection="1">
      <protection locked="0"/>
    </xf>
    <xf numFmtId="164" fontId="0" fillId="0" borderId="0" xfId="0" applyNumberFormat="1" applyFont="1" applyProtection="1">
      <protection locked="0"/>
    </xf>
    <xf numFmtId="43" fontId="0" fillId="0" borderId="0" xfId="0" applyNumberFormat="1" applyFont="1" applyProtection="1">
      <protection locked="0"/>
    </xf>
    <xf numFmtId="0" fontId="22" fillId="11" borderId="0" xfId="0" applyFont="1" applyFill="1" applyAlignment="1" applyProtection="1">
      <protection locked="0"/>
    </xf>
    <xf numFmtId="0" fontId="28" fillId="11" borderId="0" xfId="6" applyFont="1" applyFill="1" applyBorder="1" applyProtection="1">
      <protection locked="0"/>
    </xf>
    <xf numFmtId="0" fontId="29" fillId="11" borderId="0" xfId="0" applyFont="1" applyFill="1" applyBorder="1" applyProtection="1">
      <protection locked="0"/>
    </xf>
    <xf numFmtId="14" fontId="29" fillId="11" borderId="0" xfId="0" applyNumberFormat="1" applyFont="1" applyFill="1" applyBorder="1" applyAlignment="1" applyProtection="1">
      <alignment horizontal="left"/>
      <protection locked="0"/>
    </xf>
    <xf numFmtId="0" fontId="30" fillId="11" borderId="17" xfId="4" applyFont="1" applyFill="1" applyBorder="1" applyProtection="1">
      <protection locked="0"/>
    </xf>
    <xf numFmtId="14" fontId="29" fillId="11" borderId="0" xfId="0" applyNumberFormat="1" applyFont="1" applyFill="1" applyBorder="1" applyAlignment="1" applyProtection="1">
      <alignment horizontal="center"/>
      <protection locked="0"/>
    </xf>
    <xf numFmtId="2" fontId="29" fillId="11" borderId="0" xfId="0" applyNumberFormat="1" applyFont="1" applyFill="1" applyBorder="1" applyAlignment="1" applyProtection="1">
      <alignment horizontal="center"/>
      <protection locked="0"/>
    </xf>
    <xf numFmtId="4" fontId="29" fillId="11" borderId="0" xfId="5" applyNumberFormat="1" applyFont="1" applyFill="1" applyBorder="1" applyProtection="1">
      <protection locked="0"/>
    </xf>
    <xf numFmtId="0" fontId="29" fillId="11" borderId="0" xfId="0" quotePrefix="1" applyFont="1" applyFill="1" applyBorder="1" applyAlignment="1" applyProtection="1">
      <alignment horizontal="left"/>
      <protection locked="0"/>
    </xf>
    <xf numFmtId="0" fontId="29" fillId="11" borderId="0" xfId="2" applyFont="1" applyFill="1" applyBorder="1" applyProtection="1">
      <protection locked="0"/>
    </xf>
    <xf numFmtId="14" fontId="29" fillId="11" borderId="0" xfId="2" applyNumberFormat="1" applyFont="1" applyFill="1" applyBorder="1" applyAlignment="1" applyProtection="1">
      <alignment horizontal="center"/>
      <protection locked="0"/>
    </xf>
    <xf numFmtId="2" fontId="29" fillId="11" borderId="0" xfId="2" applyNumberFormat="1" applyFont="1" applyFill="1" applyBorder="1" applyAlignment="1" applyProtection="1">
      <alignment horizontal="center"/>
      <protection locked="0"/>
    </xf>
    <xf numFmtId="0" fontId="29" fillId="11" borderId="0" xfId="0" applyFont="1" applyFill="1" applyBorder="1" applyAlignment="1" applyProtection="1">
      <protection locked="0"/>
    </xf>
    <xf numFmtId="0" fontId="29" fillId="11" borderId="0" xfId="2" applyFont="1" applyFill="1" applyAlignment="1" applyProtection="1">
      <alignment horizontal="left" vertical="top"/>
      <protection locked="0"/>
    </xf>
    <xf numFmtId="14" fontId="29" fillId="11" borderId="0" xfId="0" applyNumberFormat="1" applyFont="1" applyFill="1" applyAlignment="1" applyProtection="1">
      <alignment horizontal="center"/>
      <protection locked="0"/>
    </xf>
    <xf numFmtId="14" fontId="29" fillId="11" borderId="0" xfId="2" applyNumberFormat="1" applyFont="1" applyFill="1" applyAlignment="1" applyProtection="1">
      <alignment horizontal="center"/>
      <protection locked="0"/>
    </xf>
    <xf numFmtId="0" fontId="29" fillId="11" borderId="0" xfId="2" applyFont="1" applyFill="1" applyProtection="1">
      <protection locked="0"/>
    </xf>
    <xf numFmtId="14" fontId="0" fillId="0" borderId="0" xfId="0" applyNumberFormat="1" applyAlignment="1" applyProtection="1">
      <alignment horizontal="center"/>
      <protection locked="0"/>
    </xf>
    <xf numFmtId="0" fontId="29" fillId="11" borderId="0" xfId="2" quotePrefix="1" applyFont="1" applyFill="1" applyAlignment="1" applyProtection="1">
      <alignment horizontal="left"/>
      <protection locked="0"/>
    </xf>
    <xf numFmtId="0" fontId="29" fillId="11" borderId="0" xfId="0" applyFont="1" applyFill="1" applyBorder="1" applyAlignment="1" applyProtection="1">
      <alignment horizontal="left"/>
      <protection locked="0"/>
    </xf>
    <xf numFmtId="0" fontId="28" fillId="11" borderId="0" xfId="6" quotePrefix="1" applyFont="1" applyFill="1" applyBorder="1" applyAlignment="1" applyProtection="1">
      <alignment horizontal="left"/>
      <protection locked="0"/>
    </xf>
    <xf numFmtId="164" fontId="29" fillId="11" borderId="2" xfId="5" applyNumberFormat="1" applyFont="1" applyFill="1" applyBorder="1" applyProtection="1">
      <protection locked="0"/>
    </xf>
    <xf numFmtId="2" fontId="29" fillId="11" borderId="0" xfId="0" applyNumberFormat="1" applyFont="1" applyFill="1" applyBorder="1" applyProtection="1">
      <protection locked="0"/>
    </xf>
    <xf numFmtId="2" fontId="29" fillId="11" borderId="0" xfId="2" applyNumberFormat="1" applyFont="1" applyFill="1" applyBorder="1" applyProtection="1">
      <protection locked="0"/>
    </xf>
    <xf numFmtId="2" fontId="29" fillId="11" borderId="0" xfId="0" applyNumberFormat="1" applyFont="1" applyFill="1" applyBorder="1" applyAlignment="1" applyProtection="1">
      <protection locked="0"/>
    </xf>
    <xf numFmtId="0" fontId="30" fillId="11" borderId="17" xfId="4" quotePrefix="1" applyFont="1" applyFill="1" applyBorder="1" applyAlignment="1" applyProtection="1">
      <alignment horizontal="center"/>
      <protection locked="0"/>
    </xf>
    <xf numFmtId="0" fontId="30" fillId="11" borderId="17" xfId="4" applyFont="1" applyFill="1" applyBorder="1" applyAlignment="1" applyProtection="1">
      <alignment horizontal="center"/>
      <protection locked="0"/>
    </xf>
    <xf numFmtId="4" fontId="29" fillId="11" borderId="0" xfId="5" applyNumberFormat="1" applyFont="1" applyFill="1" applyBorder="1" applyAlignment="1" applyProtection="1">
      <alignment horizontal="center"/>
      <protection locked="0"/>
    </xf>
    <xf numFmtId="4" fontId="6" fillId="11" borderId="0" xfId="5" applyNumberFormat="1" applyFont="1" applyFill="1" applyBorder="1" applyAlignment="1" applyProtection="1">
      <alignment horizontal="center"/>
      <protection locked="0"/>
    </xf>
    <xf numFmtId="0" fontId="29" fillId="11" borderId="0" xfId="0" applyFont="1" applyFill="1" applyProtection="1">
      <protection locked="0"/>
    </xf>
    <xf numFmtId="0" fontId="28" fillId="11" borderId="0" xfId="6" applyFont="1" applyFill="1" applyBorder="1" applyAlignment="1" applyProtection="1">
      <protection locked="0"/>
    </xf>
    <xf numFmtId="0" fontId="29" fillId="11" borderId="0" xfId="0" applyFont="1" applyFill="1" applyAlignment="1" applyProtection="1">
      <protection locked="0"/>
    </xf>
    <xf numFmtId="0" fontId="30" fillId="11" borderId="17" xfId="2" applyFont="1" applyFill="1" applyBorder="1" applyAlignment="1" applyProtection="1">
      <alignment horizontal="left" vertical="top"/>
      <protection locked="0"/>
    </xf>
    <xf numFmtId="0" fontId="30" fillId="11" borderId="17" xfId="4" quotePrefix="1" applyFont="1" applyFill="1" applyBorder="1" applyAlignment="1" applyProtection="1">
      <alignment horizontal="left"/>
      <protection locked="0"/>
    </xf>
    <xf numFmtId="0" fontId="29" fillId="11" borderId="0" xfId="0" quotePrefix="1" applyFont="1" applyFill="1" applyAlignment="1" applyProtection="1">
      <protection locked="0"/>
    </xf>
    <xf numFmtId="2" fontId="29" fillId="11" borderId="0" xfId="0" applyNumberFormat="1" applyFont="1" applyFill="1" applyAlignment="1" applyProtection="1">
      <alignment horizontal="center"/>
      <protection locked="0"/>
    </xf>
    <xf numFmtId="4" fontId="29" fillId="11" borderId="0" xfId="5" applyNumberFormat="1" applyFont="1" applyFill="1" applyProtection="1">
      <protection locked="0"/>
    </xf>
    <xf numFmtId="2" fontId="29" fillId="11" borderId="0" xfId="2" applyNumberFormat="1" applyFont="1" applyFill="1" applyAlignment="1" applyProtection="1">
      <alignment horizontal="center"/>
      <protection locked="0"/>
    </xf>
    <xf numFmtId="4" fontId="6" fillId="11" borderId="0" xfId="5" applyNumberFormat="1" applyFont="1" applyFill="1" applyProtection="1">
      <protection locked="0"/>
    </xf>
    <xf numFmtId="0" fontId="0" fillId="0" borderId="0" xfId="0" applyAlignment="1" applyProtection="1">
      <protection locked="0"/>
    </xf>
    <xf numFmtId="0" fontId="27" fillId="7" borderId="11" xfId="0" quotePrefix="1" applyFont="1" applyFill="1" applyBorder="1" applyAlignment="1" applyProtection="1">
      <alignment horizontal="left"/>
      <protection locked="0"/>
    </xf>
    <xf numFmtId="43" fontId="0" fillId="7" borderId="12" xfId="5" applyFont="1" applyFill="1" applyBorder="1" applyProtection="1">
      <protection locked="0"/>
    </xf>
    <xf numFmtId="0" fontId="0" fillId="7" borderId="12" xfId="0" applyFont="1" applyFill="1" applyBorder="1" applyProtection="1">
      <protection locked="0"/>
    </xf>
    <xf numFmtId="0" fontId="0" fillId="7" borderId="13" xfId="0" applyFont="1" applyFill="1" applyBorder="1" applyProtection="1">
      <protection locked="0"/>
    </xf>
    <xf numFmtId="0" fontId="0" fillId="7" borderId="14" xfId="0" applyFont="1" applyFill="1" applyBorder="1" applyProtection="1">
      <protection locked="0"/>
    </xf>
    <xf numFmtId="43" fontId="22" fillId="7" borderId="0" xfId="5" applyFont="1" applyFill="1" applyBorder="1" applyProtection="1">
      <protection locked="0"/>
    </xf>
    <xf numFmtId="0" fontId="0" fillId="7" borderId="0" xfId="0" applyFont="1" applyFill="1" applyBorder="1" applyProtection="1">
      <protection locked="0"/>
    </xf>
    <xf numFmtId="0" fontId="0" fillId="7" borderId="15" xfId="0" applyFont="1" applyFill="1" applyBorder="1" applyProtection="1">
      <protection locked="0"/>
    </xf>
    <xf numFmtId="0" fontId="0" fillId="7" borderId="14" xfId="0" quotePrefix="1" applyFont="1" applyFill="1" applyBorder="1" applyAlignment="1" applyProtection="1">
      <alignment horizontal="left"/>
      <protection locked="0"/>
    </xf>
    <xf numFmtId="43" fontId="0" fillId="7" borderId="0" xfId="5" applyFont="1" applyFill="1" applyBorder="1" applyProtection="1">
      <protection locked="0"/>
    </xf>
    <xf numFmtId="0" fontId="0" fillId="7" borderId="16" xfId="0" applyFont="1" applyFill="1" applyBorder="1" applyProtection="1">
      <protection locked="0"/>
    </xf>
    <xf numFmtId="43" fontId="0" fillId="7" borderId="17" xfId="5" applyFont="1" applyFill="1" applyBorder="1" applyProtection="1">
      <protection locked="0"/>
    </xf>
    <xf numFmtId="0" fontId="0" fillId="7" borderId="17" xfId="0" applyFont="1" applyFill="1" applyBorder="1" applyProtection="1">
      <protection locked="0"/>
    </xf>
    <xf numFmtId="0" fontId="0" fillId="7" borderId="18" xfId="0" applyFont="1" applyFill="1" applyBorder="1" applyProtection="1">
      <protection locked="0"/>
    </xf>
    <xf numFmtId="0" fontId="27" fillId="8" borderId="11" xfId="0" quotePrefix="1" applyFont="1" applyFill="1" applyBorder="1" applyAlignment="1" applyProtection="1">
      <alignment horizontal="left"/>
      <protection locked="0"/>
    </xf>
    <xf numFmtId="43" fontId="0" fillId="8" borderId="12" xfId="5" applyFont="1" applyFill="1" applyBorder="1" applyProtection="1">
      <protection locked="0"/>
    </xf>
    <xf numFmtId="0" fontId="0" fillId="8" borderId="12" xfId="0" applyFont="1" applyFill="1" applyBorder="1" applyProtection="1">
      <protection locked="0"/>
    </xf>
    <xf numFmtId="0" fontId="0" fillId="8" borderId="13" xfId="0" applyFont="1" applyFill="1" applyBorder="1" applyProtection="1">
      <protection locked="0"/>
    </xf>
    <xf numFmtId="0" fontId="0" fillId="8" borderId="14" xfId="0" applyFont="1" applyFill="1" applyBorder="1" applyProtection="1">
      <protection locked="0"/>
    </xf>
    <xf numFmtId="43" fontId="22" fillId="8" borderId="0" xfId="5" applyFont="1" applyFill="1" applyBorder="1" applyProtection="1">
      <protection locked="0"/>
    </xf>
    <xf numFmtId="0" fontId="0" fillId="8" borderId="0" xfId="0" applyFont="1" applyFill="1" applyBorder="1" applyProtection="1">
      <protection locked="0"/>
    </xf>
    <xf numFmtId="0" fontId="0" fillId="8" borderId="15" xfId="0" applyFont="1" applyFill="1" applyBorder="1" applyProtection="1">
      <protection locked="0"/>
    </xf>
    <xf numFmtId="0" fontId="0" fillId="8" borderId="14" xfId="0" quotePrefix="1" applyFont="1" applyFill="1" applyBorder="1" applyAlignment="1" applyProtection="1">
      <alignment horizontal="left"/>
      <protection locked="0"/>
    </xf>
    <xf numFmtId="43" fontId="0" fillId="8" borderId="0" xfId="5" applyFont="1" applyFill="1" applyBorder="1" applyProtection="1">
      <protection locked="0"/>
    </xf>
    <xf numFmtId="0" fontId="0" fillId="8" borderId="16" xfId="0" applyFont="1" applyFill="1" applyBorder="1" applyProtection="1">
      <protection locked="0"/>
    </xf>
    <xf numFmtId="43" fontId="0" fillId="8" borderId="17" xfId="5" applyFont="1" applyFill="1" applyBorder="1" applyProtection="1">
      <protection locked="0"/>
    </xf>
    <xf numFmtId="0" fontId="0" fillId="8" borderId="17" xfId="0" applyFont="1" applyFill="1" applyBorder="1" applyProtection="1">
      <protection locked="0"/>
    </xf>
    <xf numFmtId="0" fontId="0" fillId="8" borderId="18" xfId="0" applyFont="1" applyFill="1" applyBorder="1" applyProtection="1">
      <protection locked="0"/>
    </xf>
    <xf numFmtId="0" fontId="27" fillId="9" borderId="11" xfId="0" quotePrefix="1" applyFont="1" applyFill="1" applyBorder="1" applyAlignment="1" applyProtection="1">
      <alignment horizontal="left"/>
      <protection locked="0"/>
    </xf>
    <xf numFmtId="43" fontId="0" fillId="9" borderId="12" xfId="5" applyFont="1" applyFill="1" applyBorder="1" applyProtection="1">
      <protection locked="0"/>
    </xf>
    <xf numFmtId="0" fontId="0" fillId="9" borderId="12" xfId="0" applyFont="1" applyFill="1" applyBorder="1" applyProtection="1">
      <protection locked="0"/>
    </xf>
    <xf numFmtId="0" fontId="0" fillId="9" borderId="13" xfId="0" applyFont="1" applyFill="1" applyBorder="1" applyProtection="1">
      <protection locked="0"/>
    </xf>
    <xf numFmtId="0" fontId="0" fillId="9" borderId="14" xfId="0" applyFont="1" applyFill="1" applyBorder="1" applyProtection="1">
      <protection locked="0"/>
    </xf>
    <xf numFmtId="43" fontId="22" fillId="9" borderId="0" xfId="5" applyFont="1" applyFill="1" applyBorder="1" applyProtection="1">
      <protection locked="0"/>
    </xf>
    <xf numFmtId="0" fontId="0" fillId="9" borderId="0" xfId="0" applyFont="1" applyFill="1" applyBorder="1" applyProtection="1">
      <protection locked="0"/>
    </xf>
    <xf numFmtId="0" fontId="0" fillId="9" borderId="15" xfId="0" applyFont="1" applyFill="1" applyBorder="1" applyProtection="1">
      <protection locked="0"/>
    </xf>
    <xf numFmtId="49" fontId="3" fillId="9" borderId="14" xfId="0" applyNumberFormat="1" applyFont="1" applyFill="1" applyBorder="1" applyAlignment="1" applyProtection="1">
      <alignment horizontal="left"/>
      <protection locked="0"/>
    </xf>
    <xf numFmtId="43" fontId="3" fillId="9" borderId="0" xfId="5" applyFont="1" applyFill="1" applyBorder="1" applyProtection="1">
      <protection locked="0"/>
    </xf>
    <xf numFmtId="43" fontId="6" fillId="9" borderId="0" xfId="5" applyFont="1" applyFill="1" applyBorder="1" applyProtection="1">
      <protection locked="0"/>
    </xf>
    <xf numFmtId="49" fontId="3" fillId="9" borderId="16" xfId="0" applyNumberFormat="1" applyFont="1" applyFill="1" applyBorder="1" applyAlignment="1" applyProtection="1">
      <alignment horizontal="left"/>
      <protection locked="0"/>
    </xf>
    <xf numFmtId="43" fontId="3" fillId="9" borderId="17" xfId="5" applyFont="1" applyFill="1" applyBorder="1" applyProtection="1">
      <protection locked="0"/>
    </xf>
    <xf numFmtId="43" fontId="6" fillId="9" borderId="17" xfId="5" applyFont="1" applyFill="1" applyBorder="1" applyProtection="1">
      <protection locked="0"/>
    </xf>
    <xf numFmtId="0" fontId="0" fillId="9" borderId="17" xfId="0" applyFont="1" applyFill="1" applyBorder="1" applyProtection="1">
      <protection locked="0"/>
    </xf>
    <xf numFmtId="0" fontId="0" fillId="9" borderId="18" xfId="0" applyFont="1" applyFill="1" applyBorder="1" applyProtection="1">
      <protection locked="0"/>
    </xf>
    <xf numFmtId="0" fontId="22" fillId="10" borderId="19" xfId="0" quotePrefix="1" applyFont="1" applyFill="1" applyBorder="1" applyAlignment="1" applyProtection="1">
      <alignment horizontal="left" vertical="top"/>
      <protection locked="0"/>
    </xf>
    <xf numFmtId="0" fontId="22" fillId="10" borderId="20" xfId="0" applyFont="1" applyFill="1" applyBorder="1" applyAlignment="1" applyProtection="1">
      <alignment vertical="top"/>
      <protection locked="0"/>
    </xf>
    <xf numFmtId="0" fontId="22" fillId="10" borderId="21" xfId="0" applyFont="1" applyFill="1" applyBorder="1" applyAlignment="1" applyProtection="1">
      <alignment vertical="top"/>
      <protection locked="0"/>
    </xf>
    <xf numFmtId="0" fontId="0" fillId="10" borderId="14" xfId="0" applyFill="1" applyBorder="1" applyAlignment="1" applyProtection="1">
      <alignment horizontal="left"/>
      <protection locked="0"/>
    </xf>
    <xf numFmtId="0" fontId="0" fillId="10" borderId="0" xfId="0" applyFill="1" applyBorder="1" applyAlignment="1" applyProtection="1">
      <alignment vertical="top" wrapText="1" indent="1"/>
      <protection locked="0"/>
    </xf>
    <xf numFmtId="0" fontId="0" fillId="10" borderId="15" xfId="0" applyFill="1" applyBorder="1" applyAlignment="1" applyProtection="1">
      <alignment horizontal="center" vertical="top" wrapText="1"/>
      <protection locked="0"/>
    </xf>
    <xf numFmtId="0" fontId="22" fillId="10" borderId="0" xfId="0" applyFont="1" applyFill="1" applyBorder="1" applyAlignment="1" applyProtection="1">
      <alignment vertical="top" wrapText="1" indent="1"/>
      <protection locked="0"/>
    </xf>
    <xf numFmtId="0" fontId="0" fillId="10" borderId="14" xfId="0" quotePrefix="1" applyFill="1" applyBorder="1" applyAlignment="1" applyProtection="1">
      <alignment horizontal="left"/>
      <protection locked="0"/>
    </xf>
    <xf numFmtId="0" fontId="0" fillId="10" borderId="16" xfId="0" applyFill="1" applyBorder="1" applyAlignment="1" applyProtection="1">
      <alignment horizontal="left"/>
      <protection locked="0"/>
    </xf>
    <xf numFmtId="0" fontId="0" fillId="10" borderId="17" xfId="0" applyFill="1" applyBorder="1" applyAlignment="1" applyProtection="1">
      <alignment vertical="top" wrapText="1" indent="1"/>
      <protection locked="0"/>
    </xf>
    <xf numFmtId="0" fontId="0" fillId="10" borderId="18" xfId="0" applyFill="1" applyBorder="1" applyAlignment="1" applyProtection="1">
      <alignment horizontal="center" vertical="top" wrapText="1"/>
      <protection locked="0"/>
    </xf>
    <xf numFmtId="0" fontId="8" fillId="0" borderId="0" xfId="10" applyFont="1" applyProtection="1">
      <protection locked="0"/>
    </xf>
    <xf numFmtId="0" fontId="44" fillId="0" borderId="0" xfId="10" quotePrefix="1" applyFont="1" applyAlignment="1" applyProtection="1">
      <alignment horizontal="left"/>
      <protection locked="0"/>
    </xf>
    <xf numFmtId="0" fontId="53" fillId="0" borderId="0" xfId="0" applyFont="1" applyAlignment="1" applyProtection="1">
      <alignment horizontal="left"/>
      <protection locked="0"/>
    </xf>
    <xf numFmtId="0" fontId="99" fillId="0" borderId="0" xfId="10" quotePrefix="1" applyFont="1" applyAlignment="1" applyProtection="1">
      <alignment horizontal="left"/>
    </xf>
    <xf numFmtId="0" fontId="56" fillId="11" borderId="0" xfId="0" quotePrefix="1" applyFont="1" applyFill="1" applyBorder="1" applyAlignment="1" applyProtection="1">
      <alignment horizontal="left"/>
    </xf>
    <xf numFmtId="0" fontId="56" fillId="0" borderId="0" xfId="0" quotePrefix="1" applyFont="1" applyAlignment="1" applyProtection="1">
      <alignment horizontal="left"/>
    </xf>
    <xf numFmtId="0" fontId="100" fillId="0" borderId="0" xfId="0" quotePrefix="1" applyFont="1" applyAlignment="1" applyProtection="1">
      <alignment horizontal="left"/>
    </xf>
    <xf numFmtId="0" fontId="101" fillId="0" borderId="0" xfId="0" quotePrefix="1" applyFont="1" applyAlignment="1" applyProtection="1">
      <alignment horizontal="left"/>
    </xf>
    <xf numFmtId="0" fontId="100" fillId="0" borderId="0" xfId="0" quotePrefix="1" applyFont="1" applyBorder="1" applyAlignment="1" applyProtection="1">
      <alignment horizontal="left" vertical="top"/>
    </xf>
    <xf numFmtId="0" fontId="100" fillId="11" borderId="0" xfId="0" quotePrefix="1" applyFont="1" applyFill="1" applyAlignment="1" applyProtection="1">
      <alignment horizontal="left"/>
    </xf>
    <xf numFmtId="164" fontId="100" fillId="0" borderId="0" xfId="5" quotePrefix="1" applyNumberFormat="1" applyFont="1" applyBorder="1" applyAlignment="1" applyProtection="1">
      <alignment horizontal="left"/>
    </xf>
    <xf numFmtId="0" fontId="102" fillId="0" borderId="0" xfId="0" quotePrefix="1" applyFont="1" applyAlignment="1" applyProtection="1">
      <alignment horizontal="left"/>
    </xf>
    <xf numFmtId="0" fontId="56" fillId="11" borderId="0" xfId="0" quotePrefix="1" applyFont="1" applyFill="1" applyAlignment="1" applyProtection="1">
      <alignment horizontal="left"/>
    </xf>
    <xf numFmtId="0" fontId="103" fillId="0" borderId="0" xfId="11" applyFont="1" applyAlignment="1" applyProtection="1">
      <alignment horizontal="left"/>
      <protection locked="0"/>
    </xf>
    <xf numFmtId="0" fontId="2" fillId="0" borderId="0" xfId="0" applyFont="1"/>
    <xf numFmtId="0" fontId="2" fillId="0" borderId="0" xfId="0" applyFont="1" applyAlignment="1"/>
    <xf numFmtId="0" fontId="2" fillId="0" borderId="0" xfId="0" applyFont="1" applyBorder="1" applyAlignment="1"/>
    <xf numFmtId="0" fontId="2" fillId="0" borderId="0" xfId="0" applyFont="1" applyFill="1" applyBorder="1"/>
    <xf numFmtId="0" fontId="2" fillId="0" borderId="0" xfId="0" applyFont="1" applyFill="1" applyBorder="1" applyAlignment="1">
      <alignment horizontal="left" vertical="center"/>
    </xf>
    <xf numFmtId="0" fontId="2" fillId="0" borderId="0" xfId="0" applyFont="1" applyFill="1" applyBorder="1" applyAlignment="1">
      <alignment wrapText="1"/>
    </xf>
    <xf numFmtId="0" fontId="2" fillId="0" borderId="0" xfId="0" applyFont="1" applyFill="1" applyBorder="1" applyAlignment="1">
      <alignment horizontal="center" vertical="top"/>
    </xf>
    <xf numFmtId="0" fontId="2" fillId="0" borderId="2" xfId="0" applyFont="1" applyFill="1" applyBorder="1" applyAlignment="1">
      <alignment horizontal="center" vertical="top"/>
    </xf>
    <xf numFmtId="0" fontId="2" fillId="0" borderId="2" xfId="0" applyFont="1" applyFill="1" applyBorder="1" applyAlignment="1">
      <alignment wrapText="1"/>
    </xf>
    <xf numFmtId="0" fontId="2" fillId="0" borderId="23" xfId="0" applyFont="1" applyBorder="1"/>
    <xf numFmtId="0" fontId="64" fillId="0" borderId="0" xfId="0" applyFont="1" applyAlignment="1">
      <alignment horizontal="left" vertical="center" indent="5"/>
    </xf>
    <xf numFmtId="0" fontId="2" fillId="0" borderId="0" xfId="0" applyFont="1" applyAlignment="1">
      <alignment vertical="center"/>
    </xf>
    <xf numFmtId="0" fontId="1" fillId="0" borderId="0" xfId="0" applyFont="1" applyProtection="1">
      <protection locked="0"/>
    </xf>
    <xf numFmtId="0" fontId="64" fillId="0" borderId="0" xfId="0" applyFont="1" applyAlignment="1">
      <alignment vertical="center"/>
    </xf>
    <xf numFmtId="0" fontId="104" fillId="0" borderId="0" xfId="11" applyFont="1" applyAlignment="1" applyProtection="1">
      <protection locked="0"/>
    </xf>
    <xf numFmtId="0" fontId="104" fillId="0" borderId="0" xfId="11" applyFont="1" applyAlignment="1" applyProtection="1">
      <alignment horizontal="left"/>
      <protection locked="0"/>
    </xf>
    <xf numFmtId="0" fontId="27" fillId="0" borderId="0" xfId="0" applyFont="1" applyAlignment="1">
      <alignment horizontal="justify" vertical="center"/>
    </xf>
    <xf numFmtId="0" fontId="2" fillId="0" borderId="0" xfId="0" applyFont="1" applyAlignment="1">
      <alignment horizontal="justify" vertical="center"/>
    </xf>
    <xf numFmtId="0" fontId="31" fillId="21" borderId="0" xfId="0" applyFont="1" applyFill="1" applyAlignment="1">
      <alignment horizontal="center"/>
    </xf>
    <xf numFmtId="0" fontId="2" fillId="22" borderId="0" xfId="0" applyFont="1" applyFill="1" applyAlignment="1">
      <alignment vertical="center" wrapText="1"/>
    </xf>
    <xf numFmtId="0" fontId="106" fillId="0" borderId="0" xfId="0" applyFont="1" applyAlignment="1">
      <alignment horizontal="left" vertical="center" indent="3"/>
    </xf>
    <xf numFmtId="0" fontId="32" fillId="21" borderId="0" xfId="0" applyFont="1" applyFill="1" applyBorder="1"/>
    <xf numFmtId="0" fontId="31" fillId="21" borderId="0" xfId="0" applyFont="1" applyFill="1" applyBorder="1"/>
    <xf numFmtId="0" fontId="107" fillId="0" borderId="0" xfId="0" applyFont="1" applyProtection="1">
      <protection locked="0"/>
    </xf>
    <xf numFmtId="0" fontId="76" fillId="0" borderId="2" xfId="0" applyFont="1" applyFill="1" applyBorder="1" applyAlignment="1">
      <alignment horizontal="center" vertical="top"/>
    </xf>
    <xf numFmtId="0" fontId="108" fillId="0" borderId="2" xfId="11" applyFont="1" applyFill="1" applyBorder="1" applyAlignment="1" applyProtection="1">
      <alignment vertical="top"/>
    </xf>
    <xf numFmtId="0" fontId="109" fillId="0" borderId="2" xfId="0" applyFont="1" applyFill="1" applyBorder="1" applyAlignment="1">
      <alignment vertical="top" wrapText="1"/>
    </xf>
    <xf numFmtId="0" fontId="110" fillId="0" borderId="2" xfId="11" applyFont="1" applyFill="1" applyBorder="1" applyAlignment="1" applyProtection="1">
      <alignment vertical="top"/>
    </xf>
    <xf numFmtId="0" fontId="76" fillId="0" borderId="2" xfId="0" applyFont="1" applyFill="1" applyBorder="1" applyAlignment="1">
      <alignment vertical="top" wrapText="1"/>
    </xf>
    <xf numFmtId="0" fontId="76" fillId="0" borderId="2" xfId="0" applyFont="1" applyFill="1" applyBorder="1" applyAlignment="1">
      <alignment horizontal="left" vertical="center" wrapText="1"/>
    </xf>
    <xf numFmtId="0" fontId="113" fillId="0" borderId="0" xfId="0" applyFont="1" applyFill="1" applyBorder="1" applyAlignment="1">
      <alignment horizontal="left" vertical="center"/>
    </xf>
    <xf numFmtId="0" fontId="27" fillId="0" borderId="0" xfId="0" applyFont="1" applyFill="1" applyBorder="1" applyAlignment="1">
      <alignment horizontal="left" vertical="top"/>
    </xf>
    <xf numFmtId="0" fontId="111" fillId="0" borderId="0" xfId="0" applyFont="1" applyFill="1" applyBorder="1" applyAlignment="1">
      <alignment horizontal="left" vertical="center"/>
    </xf>
    <xf numFmtId="0" fontId="2" fillId="0" borderId="0" xfId="0" applyFont="1" applyBorder="1" applyAlignment="1">
      <alignment horizontal="center" vertical="top"/>
    </xf>
    <xf numFmtId="0" fontId="2" fillId="0" borderId="0" xfId="0" applyFont="1" applyBorder="1" applyAlignment="1">
      <alignment wrapText="1"/>
    </xf>
    <xf numFmtId="0" fontId="33" fillId="0" borderId="0" xfId="0" applyFont="1" applyBorder="1" applyAlignment="1">
      <alignment horizontal="left" vertical="top"/>
    </xf>
    <xf numFmtId="0" fontId="53" fillId="0" borderId="24" xfId="0" applyFont="1" applyBorder="1" applyProtection="1">
      <protection locked="0"/>
    </xf>
    <xf numFmtId="0" fontId="105" fillId="0" borderId="0" xfId="0" applyFont="1" applyBorder="1" applyAlignment="1" applyProtection="1">
      <alignment horizontal="left"/>
      <protection locked="0"/>
    </xf>
    <xf numFmtId="0" fontId="53" fillId="0" borderId="0" xfId="0" applyFont="1" applyBorder="1" applyProtection="1">
      <protection locked="0"/>
    </xf>
    <xf numFmtId="0" fontId="115" fillId="0" borderId="0" xfId="0" applyFont="1" applyAlignment="1" applyProtection="1">
      <alignment horizontal="left"/>
      <protection locked="0"/>
    </xf>
    <xf numFmtId="0" fontId="115" fillId="0" borderId="24" xfId="0" applyFont="1" applyBorder="1" applyAlignment="1" applyProtection="1">
      <alignment horizontal="left"/>
      <protection locked="0"/>
    </xf>
    <xf numFmtId="0" fontId="114" fillId="0" borderId="0" xfId="0" applyFont="1" applyAlignment="1" applyProtection="1">
      <alignment horizontal="left"/>
      <protection locked="0"/>
    </xf>
    <xf numFmtId="164" fontId="43" fillId="7" borderId="2" xfId="5" applyNumberFormat="1" applyFont="1" applyFill="1" applyBorder="1" applyProtection="1">
      <protection locked="0"/>
    </xf>
    <xf numFmtId="164" fontId="2" fillId="7" borderId="2" xfId="5" applyNumberFormat="1" applyFont="1" applyFill="1" applyBorder="1" applyProtection="1">
      <protection locked="0"/>
    </xf>
    <xf numFmtId="170" fontId="117" fillId="0" borderId="0" xfId="0" applyNumberFormat="1" applyFont="1" applyProtection="1">
      <protection locked="0"/>
    </xf>
    <xf numFmtId="164" fontId="2" fillId="11" borderId="2" xfId="5" applyNumberFormat="1" applyFont="1" applyFill="1" applyBorder="1" applyProtection="1">
      <protection locked="0"/>
    </xf>
    <xf numFmtId="0" fontId="27" fillId="0" borderId="0" xfId="0" applyFont="1" applyBorder="1" applyAlignment="1" applyProtection="1">
      <alignment horizontal="center"/>
      <protection locked="0"/>
    </xf>
    <xf numFmtId="0" fontId="110" fillId="0" borderId="2" xfId="11" applyFont="1" applyFill="1" applyBorder="1" applyAlignment="1" applyProtection="1">
      <alignment horizontal="left" vertical="top"/>
    </xf>
    <xf numFmtId="0" fontId="2" fillId="13" borderId="0" xfId="0" applyFont="1" applyFill="1"/>
    <xf numFmtId="0" fontId="22" fillId="0" borderId="0" xfId="0" applyFont="1"/>
    <xf numFmtId="0" fontId="33" fillId="0" borderId="0" xfId="0" applyFont="1"/>
    <xf numFmtId="0" fontId="90" fillId="0" borderId="0" xfId="0" applyFont="1"/>
    <xf numFmtId="0" fontId="0" fillId="0" borderId="2" xfId="0" applyBorder="1"/>
    <xf numFmtId="0" fontId="33" fillId="0" borderId="24" xfId="0" applyFont="1" applyBorder="1"/>
    <xf numFmtId="0" fontId="24" fillId="0" borderId="24" xfId="0" applyFont="1" applyBorder="1"/>
    <xf numFmtId="0" fontId="118" fillId="0" borderId="0" xfId="0" applyFont="1"/>
    <xf numFmtId="0" fontId="118" fillId="0" borderId="23" xfId="0" applyFont="1" applyBorder="1"/>
    <xf numFmtId="43" fontId="0" fillId="0" borderId="0" xfId="5" applyFont="1"/>
    <xf numFmtId="43" fontId="33" fillId="0" borderId="0" xfId="5" applyFont="1"/>
    <xf numFmtId="0" fontId="33" fillId="0" borderId="2" xfId="0" applyFont="1" applyBorder="1"/>
    <xf numFmtId="171" fontId="82" fillId="0" borderId="17" xfId="0" applyNumberFormat="1" applyFont="1" applyBorder="1" applyAlignment="1">
      <alignment horizontal="center" vertical="center"/>
    </xf>
    <xf numFmtId="0" fontId="82" fillId="0" borderId="17" xfId="0" applyFont="1" applyBorder="1" applyAlignment="1">
      <alignment horizontal="center" vertical="center" wrapText="1"/>
    </xf>
    <xf numFmtId="0" fontId="82" fillId="0" borderId="17" xfId="0" applyFont="1" applyBorder="1" applyAlignment="1">
      <alignment horizontal="center" wrapText="1"/>
    </xf>
    <xf numFmtId="171" fontId="33" fillId="0" borderId="0" xfId="0" applyNumberFormat="1" applyFont="1" applyAlignment="1">
      <alignment vertical="center"/>
    </xf>
    <xf numFmtId="9" fontId="33" fillId="0" borderId="2" xfId="9" applyFont="1" applyBorder="1"/>
    <xf numFmtId="0" fontId="26" fillId="0" borderId="0" xfId="11" applyAlignment="1" applyProtection="1"/>
    <xf numFmtId="0" fontId="26" fillId="0" borderId="0" xfId="11" applyAlignment="1" applyProtection="1">
      <alignment horizontal="left" vertical="center" indent="2"/>
    </xf>
    <xf numFmtId="0" fontId="26" fillId="0" borderId="0" xfId="11" applyAlignment="1" applyProtection="1">
      <alignment horizontal="left" indent="2"/>
    </xf>
    <xf numFmtId="9" fontId="33" fillId="7" borderId="2" xfId="0" applyNumberFormat="1" applyFont="1" applyFill="1" applyBorder="1"/>
    <xf numFmtId="0" fontId="33" fillId="7" borderId="2" xfId="0" applyFont="1" applyFill="1" applyBorder="1"/>
    <xf numFmtId="8" fontId="33" fillId="7" borderId="30" xfId="0" applyNumberFormat="1" applyFont="1" applyFill="1" applyBorder="1"/>
    <xf numFmtId="8" fontId="33" fillId="0" borderId="23" xfId="0" applyNumberFormat="1" applyFont="1" applyBorder="1"/>
    <xf numFmtId="0" fontId="33" fillId="7" borderId="0" xfId="0" applyFont="1" applyFill="1" applyBorder="1"/>
    <xf numFmtId="0" fontId="29" fillId="11" borderId="0" xfId="2" applyFont="1" applyFill="1" applyAlignment="1" applyProtection="1">
      <alignment horizontal="left" vertical="top" wrapText="1"/>
      <protection locked="0"/>
    </xf>
    <xf numFmtId="0" fontId="0" fillId="0" borderId="0" xfId="0" applyAlignment="1" applyProtection="1">
      <alignment wrapText="1"/>
      <protection locked="0"/>
    </xf>
    <xf numFmtId="0" fontId="29" fillId="11" borderId="0" xfId="2" applyFont="1" applyFill="1" applyBorder="1" applyAlignment="1" applyProtection="1">
      <alignment wrapText="1"/>
      <protection locked="0"/>
    </xf>
    <xf numFmtId="0" fontId="29" fillId="11" borderId="0" xfId="0" applyFont="1" applyFill="1" applyBorder="1" applyAlignment="1" applyProtection="1">
      <alignment wrapText="1"/>
      <protection locked="0"/>
    </xf>
    <xf numFmtId="0" fontId="22" fillId="0" borderId="2" xfId="0" quotePrefix="1" applyFont="1" applyBorder="1" applyAlignment="1" applyProtection="1">
      <alignment horizontal="center"/>
      <protection locked="0"/>
    </xf>
    <xf numFmtId="0" fontId="0" fillId="0" borderId="2" xfId="0" applyBorder="1" applyAlignment="1" applyProtection="1">
      <alignment horizontal="center"/>
      <protection locked="0"/>
    </xf>
    <xf numFmtId="0" fontId="68" fillId="15" borderId="0" xfId="0" applyFont="1" applyFill="1" applyAlignment="1" applyProtection="1">
      <alignment horizontal="center"/>
      <protection locked="0"/>
    </xf>
    <xf numFmtId="0" fontId="46" fillId="0" borderId="0" xfId="0" quotePrefix="1" applyFont="1" applyAlignment="1" applyProtection="1">
      <alignment horizontal="left" wrapText="1"/>
      <protection locked="0"/>
    </xf>
    <xf numFmtId="0" fontId="46" fillId="0" borderId="0" xfId="0" applyFont="1" applyAlignment="1" applyProtection="1">
      <alignment wrapText="1"/>
      <protection locked="0"/>
    </xf>
    <xf numFmtId="0" fontId="31" fillId="15" borderId="0" xfId="0" applyFont="1" applyFill="1" applyAlignment="1" applyProtection="1">
      <alignment horizontal="center"/>
      <protection locked="0"/>
    </xf>
    <xf numFmtId="49" fontId="78" fillId="15" borderId="0" xfId="21" applyNumberFormat="1" applyFont="1" applyFill="1" applyBorder="1" applyAlignment="1" applyProtection="1">
      <alignment horizontal="center"/>
      <protection locked="0"/>
    </xf>
    <xf numFmtId="49" fontId="78" fillId="15" borderId="0" xfId="22" applyNumberFormat="1" applyFont="1" applyFill="1" applyBorder="1" applyAlignment="1" applyProtection="1">
      <alignment horizontal="center"/>
      <protection locked="0"/>
    </xf>
    <xf numFmtId="0" fontId="88" fillId="0" borderId="0" xfId="0" applyFont="1" applyAlignment="1" applyProtection="1">
      <alignment vertical="top" wrapText="1"/>
      <protection locked="0"/>
    </xf>
    <xf numFmtId="0" fontId="97" fillId="0" borderId="39" xfId="0" applyFont="1" applyBorder="1" applyAlignment="1" applyProtection="1">
      <alignment horizontal="center" wrapText="1"/>
      <protection locked="0"/>
    </xf>
    <xf numFmtId="0" fontId="97" fillId="0" borderId="40" xfId="0" applyFont="1" applyBorder="1" applyAlignment="1" applyProtection="1">
      <alignment horizontal="center" wrapText="1"/>
      <protection locked="0"/>
    </xf>
    <xf numFmtId="0" fontId="97" fillId="0" borderId="41" xfId="0" applyFont="1" applyBorder="1" applyAlignment="1" applyProtection="1">
      <alignment horizontal="center" wrapText="1"/>
      <protection locked="0"/>
    </xf>
    <xf numFmtId="0" fontId="98" fillId="0" borderId="42" xfId="0" applyFont="1" applyBorder="1" applyAlignment="1" applyProtection="1">
      <alignment horizontal="center" wrapText="1"/>
      <protection locked="0"/>
    </xf>
    <xf numFmtId="0" fontId="98" fillId="0" borderId="43" xfId="0" applyFont="1" applyBorder="1" applyAlignment="1" applyProtection="1">
      <alignment horizontal="center" wrapText="1"/>
      <protection locked="0"/>
    </xf>
    <xf numFmtId="0" fontId="98" fillId="0" borderId="44" xfId="0" applyFont="1" applyBorder="1" applyAlignment="1" applyProtection="1">
      <alignment horizontal="center" wrapText="1"/>
      <protection locked="0"/>
    </xf>
    <xf numFmtId="0" fontId="97" fillId="0" borderId="45" xfId="0" applyFont="1" applyBorder="1" applyAlignment="1" applyProtection="1">
      <alignment horizontal="center" wrapText="1"/>
      <protection locked="0"/>
    </xf>
    <xf numFmtId="0" fontId="97" fillId="0" borderId="46" xfId="0" applyFont="1" applyBorder="1" applyAlignment="1" applyProtection="1">
      <alignment horizontal="center" wrapText="1"/>
      <protection locked="0"/>
    </xf>
    <xf numFmtId="0" fontId="0" fillId="0" borderId="0" xfId="0" applyAlignment="1" applyProtection="1">
      <alignment horizontal="left" vertical="top" wrapText="1"/>
      <protection locked="0"/>
    </xf>
  </cellXfs>
  <cellStyles count="23">
    <cellStyle name="20% - Accent1" xfId="2" builtinId="30"/>
    <cellStyle name="20% - Accent1_functionsamples" xfId="3"/>
    <cellStyle name="Accent1" xfId="4" builtinId="29"/>
    <cellStyle name="ColLabel" xfId="15"/>
    <cellStyle name="Comma" xfId="5" builtinId="3"/>
    <cellStyle name="Currency" xfId="12" builtinId="4"/>
    <cellStyle name="GroupGrandTotalRowLabel" xfId="20"/>
    <cellStyle name="GroupSubTotalRowLabel" xfId="18"/>
    <cellStyle name="GroupTotalRowLabel" xfId="19"/>
    <cellStyle name="Heading 1" xfId="6" builtinId="16"/>
    <cellStyle name="Heading 2" xfId="7" builtinId="17"/>
    <cellStyle name="Heading 3" xfId="8" builtinId="18"/>
    <cellStyle name="Hyperlink" xfId="11" builtinId="8"/>
    <cellStyle name="Normal" xfId="0" builtinId="0"/>
    <cellStyle name="Percent" xfId="9" builtinId="5"/>
    <cellStyle name="ReportHeader_CompanyName" xfId="21"/>
    <cellStyle name="ReportHeader_ReportTitle" xfId="22"/>
    <cellStyle name="RowLabel" xfId="17"/>
    <cellStyle name="RowLevel_1" xfId="1" builtinId="1" iLevel="0"/>
    <cellStyle name="SubTotal" xfId="16"/>
    <cellStyle name="Text" xfId="14"/>
    <cellStyle name="Title" xfId="10" builtinId="15"/>
    <cellStyle name="Total" xfId="13" builtinId="25"/>
  </cellStyles>
  <dxfs count="14">
    <dxf>
      <font>
        <b/>
        <i/>
        <condense val="0"/>
        <extend val="0"/>
        <color indexed="17"/>
      </font>
    </dxf>
    <dxf>
      <font>
        <b/>
        <i/>
        <condense val="0"/>
        <extend val="0"/>
        <color indexed="17"/>
      </font>
    </dxf>
    <dxf>
      <font>
        <b/>
        <i/>
        <condense val="0"/>
        <extend val="0"/>
        <color indexed="17"/>
      </font>
    </dxf>
    <dxf>
      <font>
        <b/>
        <i/>
        <condense val="0"/>
        <extend val="0"/>
        <color indexed="17"/>
      </font>
    </dxf>
    <dxf>
      <numFmt numFmtId="164" formatCode="_(* #,##0_);_(* \(#,##0\);_(* &quot;-&quot;??_);_(@_)"/>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s>
  <tableStyles count="0" defaultTableStyle="TableStyleMedium9" defaultPivotStyle="PivotStyleLight16"/>
  <colors>
    <mruColors>
      <color rgb="FFFFFFCC"/>
      <color rgb="FFFFFFFF"/>
      <color rgb="FFCCFFFF"/>
      <color rgb="FFFF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35289706433755"/>
          <c:y val="4.1983722400863843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[1]Live!$B$1</c:f>
              <c:strCache>
                <c:ptCount val="1"/>
                <c:pt idx="0">
                  <c:v>Total Sales</c:v>
                </c:pt>
              </c:strCache>
            </c:strRef>
          </c:tx>
          <c:invertIfNegative val="0"/>
          <c:cat>
            <c:multiLvlStrRef>
              <c:f>[1]!Month</c:f>
            </c:multiLvlStrRef>
          </c:cat>
          <c:val>
            <c:numRef>
              <c:f>[1]!Revenue</c:f>
              <c:numCache>
                <c:formatCode>General</c:formatCode>
                <c:ptCount val="1"/>
                <c:pt idx="0">
                  <c:v>1</c:v>
                </c:pt>
              </c:numCache>
            </c:numRef>
          </c:val>
        </c:ser>
        <c:dLbls>
          <c:showLegendKey val="0"/>
          <c:showVal val="0"/>
          <c:showCatName val="0"/>
          <c:showSerName val="0"/>
          <c:showPercent val="0"/>
          <c:showBubbleSize val="0"/>
        </c:dLbls>
        <c:gapWidth val="150"/>
        <c:shape val="box"/>
        <c:axId val="246397656"/>
        <c:axId val="291601024"/>
        <c:axId val="0"/>
      </c:bar3DChart>
      <c:catAx>
        <c:axId val="246397656"/>
        <c:scaling>
          <c:orientation val="minMax"/>
        </c:scaling>
        <c:delete val="0"/>
        <c:axPos val="b"/>
        <c:numFmt formatCode="[$-409]mmm\-yy;@" sourceLinked="1"/>
        <c:majorTickMark val="out"/>
        <c:minorTickMark val="none"/>
        <c:tickLblPos val="nextTo"/>
        <c:crossAx val="291601024"/>
        <c:crosses val="autoZero"/>
        <c:auto val="1"/>
        <c:lblAlgn val="ctr"/>
        <c:lblOffset val="100"/>
        <c:noMultiLvlLbl val="0"/>
      </c:catAx>
      <c:valAx>
        <c:axId val="291601024"/>
        <c:scaling>
          <c:orientation val="minMax"/>
        </c:scaling>
        <c:delete val="0"/>
        <c:axPos val="l"/>
        <c:majorGridlines/>
        <c:numFmt formatCode="General" sourceLinked="1"/>
        <c:majorTickMark val="out"/>
        <c:minorTickMark val="none"/>
        <c:tickLblPos val="nextTo"/>
        <c:crossAx val="246397656"/>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office.microsoft.com/client/15/help/preview?AssetId=HA102752955&amp;lcid=1033&amp;NS=EXCEL&amp;Version=15&amp;tl=2&amp;respos=0&amp;CTT=1&amp;queryid=1e698dc2-145d-4673-816b-dabcf6ed3bf7#top"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0.gif"/><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gif"/><Relationship Id="rId1" Type="http://schemas.openxmlformats.org/officeDocument/2006/relationships/hyperlink" Target="http://office.microsoft.com/client/15/help/preview?AssetId=HA102752955&amp;lcid=1033&amp;NS=EXCEL&amp;Version=15&amp;tl=2&amp;respos=0&amp;CTT=1&amp;queryid=1e698dc2-145d-4673-816b-dabcf6ed3bf7#top"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5.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2.png"/><Relationship Id="rId1" Type="http://schemas.openxmlformats.org/officeDocument/2006/relationships/chart" Target="../charts/chart1.xml"/><Relationship Id="rId4"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0</xdr:col>
      <xdr:colOff>85725</xdr:colOff>
      <xdr:row>42</xdr:row>
      <xdr:rowOff>114300</xdr:rowOff>
    </xdr:to>
    <xdr:pic>
      <xdr:nvPicPr>
        <xdr:cNvPr id="2" name="Picture 1"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80010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85725</xdr:colOff>
      <xdr:row>51</xdr:row>
      <xdr:rowOff>114300</xdr:rowOff>
    </xdr:to>
    <xdr:pic>
      <xdr:nvPicPr>
        <xdr:cNvPr id="3" name="Picture 2"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99060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0</xdr:rowOff>
    </xdr:from>
    <xdr:to>
      <xdr:col>0</xdr:col>
      <xdr:colOff>85725</xdr:colOff>
      <xdr:row>65</xdr:row>
      <xdr:rowOff>114300</xdr:rowOff>
    </xdr:to>
    <xdr:pic>
      <xdr:nvPicPr>
        <xdr:cNvPr id="4" name="Picture 3"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127635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85725</xdr:colOff>
      <xdr:row>91</xdr:row>
      <xdr:rowOff>114300</xdr:rowOff>
    </xdr:to>
    <xdr:pic>
      <xdr:nvPicPr>
        <xdr:cNvPr id="5" name="Picture 4"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179070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146</xdr:row>
      <xdr:rowOff>0</xdr:rowOff>
    </xdr:from>
    <xdr:to>
      <xdr:col>1</xdr:col>
      <xdr:colOff>85725</xdr:colOff>
      <xdr:row>146</xdr:row>
      <xdr:rowOff>114300</xdr:rowOff>
    </xdr:to>
    <xdr:pic>
      <xdr:nvPicPr>
        <xdr:cNvPr id="6" name="Picture 5"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285750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203</xdr:row>
      <xdr:rowOff>0</xdr:rowOff>
    </xdr:from>
    <xdr:to>
      <xdr:col>1</xdr:col>
      <xdr:colOff>85725</xdr:colOff>
      <xdr:row>203</xdr:row>
      <xdr:rowOff>114300</xdr:rowOff>
    </xdr:to>
    <xdr:pic>
      <xdr:nvPicPr>
        <xdr:cNvPr id="7" name="Picture 6"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396240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225</xdr:row>
      <xdr:rowOff>0</xdr:rowOff>
    </xdr:from>
    <xdr:to>
      <xdr:col>1</xdr:col>
      <xdr:colOff>85725</xdr:colOff>
      <xdr:row>225</xdr:row>
      <xdr:rowOff>114300</xdr:rowOff>
    </xdr:to>
    <xdr:pic>
      <xdr:nvPicPr>
        <xdr:cNvPr id="8" name="Picture 7"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440055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236</xdr:row>
      <xdr:rowOff>0</xdr:rowOff>
    </xdr:from>
    <xdr:to>
      <xdr:col>1</xdr:col>
      <xdr:colOff>85725</xdr:colOff>
      <xdr:row>236</xdr:row>
      <xdr:rowOff>114300</xdr:rowOff>
    </xdr:to>
    <xdr:pic>
      <xdr:nvPicPr>
        <xdr:cNvPr id="9" name="Picture 8"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462915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258</xdr:row>
      <xdr:rowOff>0</xdr:rowOff>
    </xdr:from>
    <xdr:to>
      <xdr:col>0</xdr:col>
      <xdr:colOff>85725</xdr:colOff>
      <xdr:row>258</xdr:row>
      <xdr:rowOff>114300</xdr:rowOff>
    </xdr:to>
    <xdr:pic>
      <xdr:nvPicPr>
        <xdr:cNvPr id="10" name="Picture 9"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506730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338</xdr:row>
      <xdr:rowOff>0</xdr:rowOff>
    </xdr:from>
    <xdr:to>
      <xdr:col>1</xdr:col>
      <xdr:colOff>85725</xdr:colOff>
      <xdr:row>338</xdr:row>
      <xdr:rowOff>114300</xdr:rowOff>
    </xdr:to>
    <xdr:pic>
      <xdr:nvPicPr>
        <xdr:cNvPr id="11" name="Picture 10"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661035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444</xdr:row>
      <xdr:rowOff>0</xdr:rowOff>
    </xdr:from>
    <xdr:to>
      <xdr:col>1</xdr:col>
      <xdr:colOff>85725</xdr:colOff>
      <xdr:row>444</xdr:row>
      <xdr:rowOff>114300</xdr:rowOff>
    </xdr:to>
    <xdr:pic>
      <xdr:nvPicPr>
        <xdr:cNvPr id="12" name="Picture 11"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864870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477</xdr:row>
      <xdr:rowOff>0</xdr:rowOff>
    </xdr:from>
    <xdr:to>
      <xdr:col>0</xdr:col>
      <xdr:colOff>85725</xdr:colOff>
      <xdr:row>477</xdr:row>
      <xdr:rowOff>114300</xdr:rowOff>
    </xdr:to>
    <xdr:pic>
      <xdr:nvPicPr>
        <xdr:cNvPr id="13" name="Picture 12"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927735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482</xdr:row>
      <xdr:rowOff>0</xdr:rowOff>
    </xdr:from>
    <xdr:to>
      <xdr:col>1</xdr:col>
      <xdr:colOff>85725</xdr:colOff>
      <xdr:row>482</xdr:row>
      <xdr:rowOff>114300</xdr:rowOff>
    </xdr:to>
    <xdr:pic>
      <xdr:nvPicPr>
        <xdr:cNvPr id="14" name="Picture 13"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946785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819150</xdr:colOff>
      <xdr:row>3</xdr:row>
      <xdr:rowOff>123825</xdr:rowOff>
    </xdr:from>
    <xdr:to>
      <xdr:col>4</xdr:col>
      <xdr:colOff>371475</xdr:colOff>
      <xdr:row>8</xdr:row>
      <xdr:rowOff>0</xdr:rowOff>
    </xdr:to>
    <xdr:pic>
      <xdr:nvPicPr>
        <xdr:cNvPr id="552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524375" y="904875"/>
          <a:ext cx="4562475" cy="876300"/>
        </a:xfrm>
        <a:prstGeom prst="rect">
          <a:avLst/>
        </a:prstGeom>
        <a:noFill/>
        <a:ln w="1">
          <a:noFill/>
          <a:miter lim="800000"/>
          <a:headEnd/>
          <a:tailEnd type="none" w="med" len="med"/>
        </a:ln>
        <a:effectLst/>
      </xdr:spPr>
    </xdr:pic>
    <xdr:clientData/>
  </xdr:twoCellAnchor>
  <xdr:twoCellAnchor editAs="oneCell">
    <xdr:from>
      <xdr:col>0</xdr:col>
      <xdr:colOff>371475</xdr:colOff>
      <xdr:row>14</xdr:row>
      <xdr:rowOff>171450</xdr:rowOff>
    </xdr:from>
    <xdr:to>
      <xdr:col>2</xdr:col>
      <xdr:colOff>323850</xdr:colOff>
      <xdr:row>18</xdr:row>
      <xdr:rowOff>188234</xdr:rowOff>
    </xdr:to>
    <xdr:pic>
      <xdr:nvPicPr>
        <xdr:cNvPr id="55298" name="Picture 2" descr="http://www.justice.gov/jmd/ps/maree100.gif"/>
        <xdr:cNvPicPr>
          <a:picLocks noChangeAspect="1" noChangeArrowheads="1"/>
        </xdr:cNvPicPr>
      </xdr:nvPicPr>
      <xdr:blipFill>
        <a:blip xmlns:r="http://schemas.openxmlformats.org/officeDocument/2006/relationships" r:embed="rId2" cstate="print"/>
        <a:srcRect/>
        <a:stretch>
          <a:fillRect/>
        </a:stretch>
      </xdr:blipFill>
      <xdr:spPr bwMode="auto">
        <a:xfrm>
          <a:off x="371475" y="3152775"/>
          <a:ext cx="3657600" cy="1578884"/>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xdr:col>
      <xdr:colOff>304800</xdr:colOff>
      <xdr:row>16</xdr:row>
      <xdr:rowOff>47625</xdr:rowOff>
    </xdr:to>
    <xdr:sp macro="" textlink="">
      <xdr:nvSpPr>
        <xdr:cNvPr id="2" name="AutoShape 1" descr="Show">
          <a:hlinkClick xmlns:r="http://schemas.openxmlformats.org/officeDocument/2006/relationships" r:id=""/>
        </xdr:cNvPr>
        <xdr:cNvSpPr>
          <a:spLocks noChangeAspect="1" noChangeArrowheads="1"/>
        </xdr:cNvSpPr>
      </xdr:nvSpPr>
      <xdr:spPr bwMode="auto">
        <a:xfrm>
          <a:off x="228600" y="4076700"/>
          <a:ext cx="304800" cy="304800"/>
        </a:xfrm>
        <a:prstGeom prst="rect">
          <a:avLst/>
        </a:prstGeom>
        <a:noFill/>
      </xdr:spPr>
    </xdr:sp>
    <xdr:clientData/>
  </xdr:twoCellAnchor>
  <xdr:twoCellAnchor editAs="oneCell">
    <xdr:from>
      <xdr:col>1</xdr:col>
      <xdr:colOff>0</xdr:colOff>
      <xdr:row>15</xdr:row>
      <xdr:rowOff>0</xdr:rowOff>
    </xdr:from>
    <xdr:to>
      <xdr:col>1</xdr:col>
      <xdr:colOff>304800</xdr:colOff>
      <xdr:row>16</xdr:row>
      <xdr:rowOff>47625</xdr:rowOff>
    </xdr:to>
    <xdr:sp macro="" textlink="">
      <xdr:nvSpPr>
        <xdr:cNvPr id="3" name="AutoShape 2" descr="Selecting an example from Help"/>
        <xdr:cNvSpPr>
          <a:spLocks noChangeAspect="1" noChangeArrowheads="1"/>
        </xdr:cNvSpPr>
      </xdr:nvSpPr>
      <xdr:spPr bwMode="auto">
        <a:xfrm>
          <a:off x="228600" y="4076700"/>
          <a:ext cx="304800" cy="304800"/>
        </a:xfrm>
        <a:prstGeom prst="rect">
          <a:avLst/>
        </a:prstGeom>
        <a:noFill/>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xdr:col>
      <xdr:colOff>304800</xdr:colOff>
      <xdr:row>13</xdr:row>
      <xdr:rowOff>47625</xdr:rowOff>
    </xdr:to>
    <xdr:sp macro="" textlink="">
      <xdr:nvSpPr>
        <xdr:cNvPr id="2" name="AutoShape 1" descr="Show">
          <a:hlinkClick xmlns:r="http://schemas.openxmlformats.org/officeDocument/2006/relationships" r:id=""/>
        </xdr:cNvPr>
        <xdr:cNvSpPr>
          <a:spLocks noChangeAspect="1" noChangeArrowheads="1"/>
        </xdr:cNvSpPr>
      </xdr:nvSpPr>
      <xdr:spPr bwMode="auto">
        <a:xfrm>
          <a:off x="228600" y="4000500"/>
          <a:ext cx="304800" cy="304800"/>
        </a:xfrm>
        <a:prstGeom prst="rect">
          <a:avLst/>
        </a:prstGeom>
        <a:noFill/>
      </xdr:spPr>
    </xdr:sp>
    <xdr:clientData/>
  </xdr:twoCellAnchor>
  <xdr:twoCellAnchor editAs="oneCell">
    <xdr:from>
      <xdr:col>1</xdr:col>
      <xdr:colOff>0</xdr:colOff>
      <xdr:row>12</xdr:row>
      <xdr:rowOff>0</xdr:rowOff>
    </xdr:from>
    <xdr:to>
      <xdr:col>1</xdr:col>
      <xdr:colOff>304800</xdr:colOff>
      <xdr:row>13</xdr:row>
      <xdr:rowOff>47625</xdr:rowOff>
    </xdr:to>
    <xdr:sp macro="" textlink="">
      <xdr:nvSpPr>
        <xdr:cNvPr id="3" name="AutoShape 2" descr="Selecting an example from Help"/>
        <xdr:cNvSpPr>
          <a:spLocks noChangeAspect="1" noChangeArrowheads="1"/>
        </xdr:cNvSpPr>
      </xdr:nvSpPr>
      <xdr:spPr bwMode="auto">
        <a:xfrm>
          <a:off x="228600" y="4000500"/>
          <a:ext cx="304800" cy="304800"/>
        </a:xfrm>
        <a:prstGeom prst="rect">
          <a:avLst/>
        </a:prstGeom>
        <a:noFill/>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219075</xdr:colOff>
      <xdr:row>2</xdr:row>
      <xdr:rowOff>161925</xdr:rowOff>
    </xdr:from>
    <xdr:to>
      <xdr:col>12</xdr:col>
      <xdr:colOff>509588</xdr:colOff>
      <xdr:row>8</xdr:row>
      <xdr:rowOff>142875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00975" y="790575"/>
          <a:ext cx="900113" cy="1200150"/>
        </a:xfrm>
        <a:prstGeom prst="rect">
          <a:avLst/>
        </a:prstGeom>
      </xdr:spPr>
    </xdr:pic>
    <xdr:clientData/>
  </xdr:twoCellAnchor>
  <xdr:twoCellAnchor>
    <xdr:from>
      <xdr:col>11</xdr:col>
      <xdr:colOff>403225</xdr:colOff>
      <xdr:row>9</xdr:row>
      <xdr:rowOff>57149</xdr:rowOff>
    </xdr:from>
    <xdr:to>
      <xdr:col>17</xdr:col>
      <xdr:colOff>280989</xdr:colOff>
      <xdr:row>17</xdr:row>
      <xdr:rowOff>104775</xdr:rowOff>
    </xdr:to>
    <xdr:sp macro="" textlink="">
      <xdr:nvSpPr>
        <xdr:cNvPr id="3" name="Oval Callout 2"/>
        <xdr:cNvSpPr/>
      </xdr:nvSpPr>
      <xdr:spPr>
        <a:xfrm>
          <a:off x="7985125" y="2114549"/>
          <a:ext cx="3535364" cy="1647826"/>
        </a:xfrm>
        <a:prstGeom prst="wedgeEllipseCallout">
          <a:avLst>
            <a:gd name="adj1" fmla="val -39392"/>
            <a:gd name="adj2" fmla="val -719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0" i="0" u="none" strike="noStrike">
              <a:solidFill>
                <a:schemeClr val="lt1"/>
              </a:solidFill>
              <a:effectLst/>
              <a:latin typeface="+mn-lt"/>
              <a:ea typeface="+mn-ea"/>
              <a:cs typeface="+mn-cs"/>
            </a:rPr>
            <a:t>Highlight Yellow Range,</a:t>
          </a:r>
          <a:r>
            <a:rPr lang="en-US" sz="1200"/>
            <a:t> </a:t>
          </a:r>
          <a:r>
            <a:rPr lang="en-US" sz="1200" b="0" i="0" u="none" strike="noStrike">
              <a:solidFill>
                <a:schemeClr val="lt1"/>
              </a:solidFill>
              <a:effectLst/>
              <a:latin typeface="+mn-lt"/>
              <a:ea typeface="+mn-ea"/>
              <a:cs typeface="+mn-cs"/>
            </a:rPr>
            <a:t>Press F2 to Edit, then press</a:t>
          </a:r>
          <a:r>
            <a:rPr lang="en-US" sz="1200"/>
            <a:t> </a:t>
          </a:r>
          <a:r>
            <a:rPr lang="en-US" sz="1200" b="0" i="0" u="none" strike="noStrike">
              <a:solidFill>
                <a:schemeClr val="lt1"/>
              </a:solidFill>
              <a:effectLst/>
              <a:latin typeface="+mn-lt"/>
              <a:ea typeface="+mn-ea"/>
              <a:cs typeface="+mn-cs"/>
            </a:rPr>
            <a:t>CTRL+SHIFT+ENTER.</a:t>
          </a:r>
          <a:br>
            <a:rPr lang="en-US" sz="1200" b="0" i="0" u="none" strike="noStrike">
              <a:solidFill>
                <a:schemeClr val="lt1"/>
              </a:solidFill>
              <a:effectLst/>
              <a:latin typeface="+mn-lt"/>
              <a:ea typeface="+mn-ea"/>
              <a:cs typeface="+mn-cs"/>
            </a:rPr>
          </a:br>
          <a:r>
            <a:rPr lang="en-US" sz="1200" b="0" i="0" u="none" strike="noStrike">
              <a:solidFill>
                <a:schemeClr val="lt1"/>
              </a:solidFill>
              <a:effectLst/>
              <a:latin typeface="+mn-lt"/>
              <a:ea typeface="+mn-ea"/>
              <a:cs typeface="+mn-cs"/>
            </a:rPr>
            <a:t/>
          </a:r>
          <a:br>
            <a:rPr lang="en-US" sz="1200" b="0" i="0" u="none" strike="noStrike">
              <a:solidFill>
                <a:schemeClr val="lt1"/>
              </a:solidFill>
              <a:effectLst/>
              <a:latin typeface="+mn-lt"/>
              <a:ea typeface="+mn-ea"/>
              <a:cs typeface="+mn-cs"/>
            </a:rPr>
          </a:br>
          <a:r>
            <a:rPr lang="en-US" sz="1200" b="0" i="0" u="none" strike="noStrike">
              <a:solidFill>
                <a:schemeClr val="lt1"/>
              </a:solidFill>
              <a:effectLst/>
              <a:latin typeface="+mn-lt"/>
              <a:ea typeface="+mn-ea"/>
              <a:cs typeface="+mn-cs"/>
            </a:rPr>
            <a:t>The TRANSPOSE function in cell C12 will reverse the data for you.</a:t>
          </a:r>
          <a:r>
            <a:rPr lang="en-US" sz="1200"/>
            <a:t> </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476250</xdr:colOff>
      <xdr:row>3</xdr:row>
      <xdr:rowOff>158750</xdr:rowOff>
    </xdr:from>
    <xdr:to>
      <xdr:col>10</xdr:col>
      <xdr:colOff>148696</xdr:colOff>
      <xdr:row>9</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8250" y="899583"/>
          <a:ext cx="900113" cy="1200150"/>
        </a:xfrm>
        <a:prstGeom prst="rect">
          <a:avLst/>
        </a:prstGeom>
      </xdr:spPr>
    </xdr:pic>
    <xdr:clientData/>
  </xdr:twoCellAnchor>
  <xdr:twoCellAnchor>
    <xdr:from>
      <xdr:col>8</xdr:col>
      <xdr:colOff>603250</xdr:colOff>
      <xdr:row>9</xdr:row>
      <xdr:rowOff>0</xdr:rowOff>
    </xdr:from>
    <xdr:to>
      <xdr:col>14</xdr:col>
      <xdr:colOff>455614</xdr:colOff>
      <xdr:row>23</xdr:row>
      <xdr:rowOff>148167</xdr:rowOff>
    </xdr:to>
    <xdr:sp macro="" textlink="">
      <xdr:nvSpPr>
        <xdr:cNvPr id="3" name="Oval Callout 2"/>
        <xdr:cNvSpPr/>
      </xdr:nvSpPr>
      <xdr:spPr>
        <a:xfrm>
          <a:off x="8985250" y="1947333"/>
          <a:ext cx="3535364" cy="2963334"/>
        </a:xfrm>
        <a:prstGeom prst="wedgeEllipseCallout">
          <a:avLst>
            <a:gd name="adj1" fmla="val -36698"/>
            <a:gd name="adj2" fmla="val -53101"/>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Because</a:t>
          </a:r>
          <a:r>
            <a:rPr lang="en-US" sz="1400" baseline="0"/>
            <a:t> Excel 2007's Data Bars did not understand what to do with negative numbers, you had to first convert negative numbers to positive numbers using the ABS function (which I have done in Column H) ...thankfully this problem was resolved in Excel 2010.</a:t>
          </a:r>
          <a:endParaRPr lang="en-US" sz="14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342900</xdr:colOff>
      <xdr:row>3</xdr:row>
      <xdr:rowOff>133350</xdr:rowOff>
    </xdr:from>
    <xdr:to>
      <xdr:col>8</xdr:col>
      <xdr:colOff>23813</xdr:colOff>
      <xdr:row>9</xdr:row>
      <xdr:rowOff>123825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86325" y="866775"/>
          <a:ext cx="900113" cy="1200150"/>
        </a:xfrm>
        <a:prstGeom prst="rect">
          <a:avLst/>
        </a:prstGeom>
      </xdr:spPr>
    </xdr:pic>
    <xdr:clientData/>
  </xdr:twoCellAnchor>
  <xdr:twoCellAnchor>
    <xdr:from>
      <xdr:col>7</xdr:col>
      <xdr:colOff>61914</xdr:colOff>
      <xdr:row>8</xdr:row>
      <xdr:rowOff>171450</xdr:rowOff>
    </xdr:from>
    <xdr:to>
      <xdr:col>12</xdr:col>
      <xdr:colOff>347664</xdr:colOff>
      <xdr:row>20</xdr:row>
      <xdr:rowOff>104775</xdr:rowOff>
    </xdr:to>
    <xdr:sp macro="" textlink="">
      <xdr:nvSpPr>
        <xdr:cNvPr id="3" name="Oval Callout 2"/>
        <xdr:cNvSpPr/>
      </xdr:nvSpPr>
      <xdr:spPr>
        <a:xfrm>
          <a:off x="5214939" y="1905000"/>
          <a:ext cx="3333750" cy="2333625"/>
        </a:xfrm>
        <a:prstGeom prst="wedgeEllipseCallout">
          <a:avLst>
            <a:gd name="adj1" fmla="val -42386"/>
            <a:gd name="adj2" fmla="val -53101"/>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Because RAND yields a value less than 1, I usually end up multiplying and</a:t>
          </a:r>
          <a:r>
            <a:rPr lang="en-US" sz="1400" baseline="0"/>
            <a:t> rounding the random value to produce a useable number, as shown in column D.</a:t>
          </a:r>
          <a:endParaRPr lang="en-US" sz="14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133348</xdr:colOff>
      <xdr:row>1</xdr:row>
      <xdr:rowOff>133350</xdr:rowOff>
    </xdr:from>
    <xdr:to>
      <xdr:col>11</xdr:col>
      <xdr:colOff>361949</xdr:colOff>
      <xdr:row>7</xdr:row>
      <xdr:rowOff>28575</xdr:rowOff>
    </xdr:to>
    <xdr:sp macro="" textlink="">
      <xdr:nvSpPr>
        <xdr:cNvPr id="3" name="Oval Callout 2"/>
        <xdr:cNvSpPr/>
      </xdr:nvSpPr>
      <xdr:spPr>
        <a:xfrm>
          <a:off x="3971923" y="466725"/>
          <a:ext cx="4495801" cy="1095375"/>
        </a:xfrm>
        <a:prstGeom prst="wedgeEllipseCallout">
          <a:avLst>
            <a:gd name="adj1" fmla="val -66424"/>
            <a:gd name="adj2" fmla="val -2586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Enter amounts in the light yellow area to see produce random numbers within a given numeric range</a:t>
          </a:r>
          <a:r>
            <a:rPr lang="en-US" sz="1400" baseline="0"/>
            <a:t>.</a:t>
          </a:r>
          <a:endParaRPr lang="en-US" sz="1400"/>
        </a:p>
      </xdr:txBody>
    </xdr:sp>
    <xdr:clientData/>
  </xdr:twoCellAnchor>
  <xdr:twoCellAnchor editAs="oneCell">
    <xdr:from>
      <xdr:col>12</xdr:col>
      <xdr:colOff>395287</xdr:colOff>
      <xdr:row>8</xdr:row>
      <xdr:rowOff>0</xdr:rowOff>
    </xdr:from>
    <xdr:to>
      <xdr:col>14</xdr:col>
      <xdr:colOff>76200</xdr:colOff>
      <xdr:row>14</xdr:row>
      <xdr:rowOff>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0662" y="1733550"/>
          <a:ext cx="900113" cy="1200150"/>
        </a:xfrm>
        <a:prstGeom prst="rect">
          <a:avLst/>
        </a:prstGeom>
      </xdr:spPr>
    </xdr:pic>
    <xdr:clientData/>
  </xdr:twoCellAnchor>
  <xdr:twoCellAnchor>
    <xdr:from>
      <xdr:col>13</xdr:col>
      <xdr:colOff>114301</xdr:colOff>
      <xdr:row>13</xdr:row>
      <xdr:rowOff>38100</xdr:rowOff>
    </xdr:from>
    <xdr:to>
      <xdr:col>18</xdr:col>
      <xdr:colOff>400051</xdr:colOff>
      <xdr:row>24</xdr:row>
      <xdr:rowOff>171450</xdr:rowOff>
    </xdr:to>
    <xdr:sp macro="" textlink="">
      <xdr:nvSpPr>
        <xdr:cNvPr id="4" name="Oval Callout 3"/>
        <xdr:cNvSpPr/>
      </xdr:nvSpPr>
      <xdr:spPr>
        <a:xfrm>
          <a:off x="9439276" y="2771775"/>
          <a:ext cx="3333750" cy="2333625"/>
        </a:xfrm>
        <a:prstGeom prst="wedgeEllipseCallout">
          <a:avLst>
            <a:gd name="adj1" fmla="val -42386"/>
            <a:gd name="adj2" fmla="val -53101"/>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Of course this list would normally be one long column, and then I would "Copy</a:t>
          </a:r>
          <a:r>
            <a:rPr lang="en-US" sz="1400" baseline="0"/>
            <a:t> - Paste Value" to convert the formulas to values, and then sort in ascending order before providing to the client.</a:t>
          </a:r>
          <a:endParaRPr lang="en-US" sz="14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2476500</xdr:colOff>
      <xdr:row>3</xdr:row>
      <xdr:rowOff>114300</xdr:rowOff>
    </xdr:from>
    <xdr:to>
      <xdr:col>6</xdr:col>
      <xdr:colOff>590550</xdr:colOff>
      <xdr:row>12</xdr:row>
      <xdr:rowOff>47625</xdr:rowOff>
    </xdr:to>
    <xdr:sp macro="" textlink="">
      <xdr:nvSpPr>
        <xdr:cNvPr id="2" name="Oval Callout 1"/>
        <xdr:cNvSpPr/>
      </xdr:nvSpPr>
      <xdr:spPr>
        <a:xfrm>
          <a:off x="4191000" y="809625"/>
          <a:ext cx="3105150" cy="1733550"/>
        </a:xfrm>
        <a:prstGeom prst="wedgeEllipseCallout">
          <a:avLst>
            <a:gd name="adj1" fmla="val -132580"/>
            <a:gd name="adj2" fmla="val 50935"/>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baseline="0"/>
            <a:t>Basically A Poor Man's Sparkline, enter percentages here to see the chart effect change.</a:t>
          </a:r>
          <a:endParaRPr lang="en-US" sz="14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466725</xdr:colOff>
      <xdr:row>7</xdr:row>
      <xdr:rowOff>180975</xdr:rowOff>
    </xdr:from>
    <xdr:to>
      <xdr:col>9</xdr:col>
      <xdr:colOff>400050</xdr:colOff>
      <xdr:row>15</xdr:row>
      <xdr:rowOff>104775</xdr:rowOff>
    </xdr:to>
    <xdr:sp macro="" textlink="">
      <xdr:nvSpPr>
        <xdr:cNvPr id="2" name="Oval Callout 1"/>
        <xdr:cNvSpPr/>
      </xdr:nvSpPr>
      <xdr:spPr>
        <a:xfrm>
          <a:off x="6143625" y="2324100"/>
          <a:ext cx="3105150" cy="1733550"/>
        </a:xfrm>
        <a:prstGeom prst="wedgeEllipseCallout">
          <a:avLst>
            <a:gd name="adj1" fmla="val -44236"/>
            <a:gd name="adj2" fmla="val -101813"/>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Enter amounts in the light yellow area to see depreciation for the specified</a:t>
          </a:r>
          <a:r>
            <a:rPr lang="en-US" sz="1400" baseline="0"/>
            <a:t> year based upon the Straight Line method.</a:t>
          </a:r>
          <a:endParaRPr lang="en-US" sz="14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409575</xdr:colOff>
      <xdr:row>7</xdr:row>
      <xdr:rowOff>133350</xdr:rowOff>
    </xdr:from>
    <xdr:to>
      <xdr:col>9</xdr:col>
      <xdr:colOff>342900</xdr:colOff>
      <xdr:row>15</xdr:row>
      <xdr:rowOff>57150</xdr:rowOff>
    </xdr:to>
    <xdr:sp macro="" textlink="">
      <xdr:nvSpPr>
        <xdr:cNvPr id="2" name="Oval Callout 1"/>
        <xdr:cNvSpPr/>
      </xdr:nvSpPr>
      <xdr:spPr>
        <a:xfrm>
          <a:off x="6086475" y="2276475"/>
          <a:ext cx="3105150" cy="1733550"/>
        </a:xfrm>
        <a:prstGeom prst="wedgeEllipseCallout">
          <a:avLst>
            <a:gd name="adj1" fmla="val -45770"/>
            <a:gd name="adj2" fmla="val -76539"/>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Enter amounts in the light yellow area to see depreciation for the specified</a:t>
          </a:r>
          <a:r>
            <a:rPr lang="en-US" sz="1400" baseline="0"/>
            <a:t> year based upon the SYD method.</a:t>
          </a:r>
          <a:endParaRPr lang="en-US" sz="14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42</xdr:row>
      <xdr:rowOff>0</xdr:rowOff>
    </xdr:from>
    <xdr:to>
      <xdr:col>13</xdr:col>
      <xdr:colOff>85725</xdr:colOff>
      <xdr:row>42</xdr:row>
      <xdr:rowOff>114300</xdr:rowOff>
    </xdr:to>
    <xdr:pic>
      <xdr:nvPicPr>
        <xdr:cNvPr id="2" name="Picture 1"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179765325"/>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52</xdr:row>
      <xdr:rowOff>0</xdr:rowOff>
    </xdr:from>
    <xdr:to>
      <xdr:col>13</xdr:col>
      <xdr:colOff>85725</xdr:colOff>
      <xdr:row>52</xdr:row>
      <xdr:rowOff>114300</xdr:rowOff>
    </xdr:to>
    <xdr:pic>
      <xdr:nvPicPr>
        <xdr:cNvPr id="3" name="Picture 2"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21711285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67</xdr:row>
      <xdr:rowOff>0</xdr:rowOff>
    </xdr:from>
    <xdr:to>
      <xdr:col>13</xdr:col>
      <xdr:colOff>85725</xdr:colOff>
      <xdr:row>67</xdr:row>
      <xdr:rowOff>114300</xdr:rowOff>
    </xdr:to>
    <xdr:pic>
      <xdr:nvPicPr>
        <xdr:cNvPr id="4" name="Picture 3"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28051125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94</xdr:row>
      <xdr:rowOff>0</xdr:rowOff>
    </xdr:from>
    <xdr:to>
      <xdr:col>13</xdr:col>
      <xdr:colOff>85725</xdr:colOff>
      <xdr:row>94</xdr:row>
      <xdr:rowOff>114300</xdr:rowOff>
    </xdr:to>
    <xdr:pic>
      <xdr:nvPicPr>
        <xdr:cNvPr id="5" name="Picture 4"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4001262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150</xdr:row>
      <xdr:rowOff>0</xdr:rowOff>
    </xdr:from>
    <xdr:to>
      <xdr:col>13</xdr:col>
      <xdr:colOff>85725</xdr:colOff>
      <xdr:row>150</xdr:row>
      <xdr:rowOff>114300</xdr:rowOff>
    </xdr:to>
    <xdr:pic>
      <xdr:nvPicPr>
        <xdr:cNvPr id="6" name="Picture 5"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6532626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208</xdr:row>
      <xdr:rowOff>0</xdr:rowOff>
    </xdr:from>
    <xdr:to>
      <xdr:col>13</xdr:col>
      <xdr:colOff>85725</xdr:colOff>
      <xdr:row>208</xdr:row>
      <xdr:rowOff>114300</xdr:rowOff>
    </xdr:to>
    <xdr:pic>
      <xdr:nvPicPr>
        <xdr:cNvPr id="7" name="Picture 6"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936374175"/>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231</xdr:row>
      <xdr:rowOff>0</xdr:rowOff>
    </xdr:from>
    <xdr:to>
      <xdr:col>13</xdr:col>
      <xdr:colOff>85725</xdr:colOff>
      <xdr:row>231</xdr:row>
      <xdr:rowOff>114300</xdr:rowOff>
    </xdr:to>
    <xdr:pic>
      <xdr:nvPicPr>
        <xdr:cNvPr id="8" name="Picture 7"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1031300325"/>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243</xdr:row>
      <xdr:rowOff>0</xdr:rowOff>
    </xdr:from>
    <xdr:to>
      <xdr:col>13</xdr:col>
      <xdr:colOff>85725</xdr:colOff>
      <xdr:row>243</xdr:row>
      <xdr:rowOff>114300</xdr:rowOff>
    </xdr:to>
    <xdr:pic>
      <xdr:nvPicPr>
        <xdr:cNvPr id="9" name="Picture 8"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107184825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266</xdr:row>
      <xdr:rowOff>0</xdr:rowOff>
    </xdr:from>
    <xdr:to>
      <xdr:col>13</xdr:col>
      <xdr:colOff>85725</xdr:colOff>
      <xdr:row>266</xdr:row>
      <xdr:rowOff>114300</xdr:rowOff>
    </xdr:to>
    <xdr:pic>
      <xdr:nvPicPr>
        <xdr:cNvPr id="10" name="Picture 9"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1165355175"/>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347</xdr:row>
      <xdr:rowOff>0</xdr:rowOff>
    </xdr:from>
    <xdr:to>
      <xdr:col>13</xdr:col>
      <xdr:colOff>85725</xdr:colOff>
      <xdr:row>347</xdr:row>
      <xdr:rowOff>114300</xdr:rowOff>
    </xdr:to>
    <xdr:pic>
      <xdr:nvPicPr>
        <xdr:cNvPr id="11" name="Picture 10"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152440005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454</xdr:row>
      <xdr:rowOff>0</xdr:rowOff>
    </xdr:from>
    <xdr:to>
      <xdr:col>13</xdr:col>
      <xdr:colOff>85725</xdr:colOff>
      <xdr:row>454</xdr:row>
      <xdr:rowOff>114300</xdr:rowOff>
    </xdr:to>
    <xdr:pic>
      <xdr:nvPicPr>
        <xdr:cNvPr id="12" name="Picture 11"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202587225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487</xdr:row>
      <xdr:rowOff>0</xdr:rowOff>
    </xdr:from>
    <xdr:to>
      <xdr:col>13</xdr:col>
      <xdr:colOff>85725</xdr:colOff>
      <xdr:row>487</xdr:row>
      <xdr:rowOff>114300</xdr:rowOff>
    </xdr:to>
    <xdr:pic>
      <xdr:nvPicPr>
        <xdr:cNvPr id="13" name="Picture 12"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21686520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497</xdr:row>
      <xdr:rowOff>0</xdr:rowOff>
    </xdr:from>
    <xdr:to>
      <xdr:col>13</xdr:col>
      <xdr:colOff>85725</xdr:colOff>
      <xdr:row>497</xdr:row>
      <xdr:rowOff>114300</xdr:rowOff>
    </xdr:to>
    <xdr:pic>
      <xdr:nvPicPr>
        <xdr:cNvPr id="14" name="Picture 13"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625" y="21926550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0</xdr:colOff>
      <xdr:row>65</xdr:row>
      <xdr:rowOff>0</xdr:rowOff>
    </xdr:from>
    <xdr:ext cx="85725" cy="114300"/>
    <xdr:pic>
      <xdr:nvPicPr>
        <xdr:cNvPr id="15" name="Picture 14" descr="Top of P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77425" y="1148715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16</xdr:col>
      <xdr:colOff>0</xdr:colOff>
      <xdr:row>13</xdr:row>
      <xdr:rowOff>0</xdr:rowOff>
    </xdr:from>
    <xdr:to>
      <xdr:col>18</xdr:col>
      <xdr:colOff>28286</xdr:colOff>
      <xdr:row>23</xdr:row>
      <xdr:rowOff>114071</xdr:rowOff>
    </xdr:to>
    <xdr:pic>
      <xdr:nvPicPr>
        <xdr:cNvPr id="16" name="Picture 15"/>
        <xdr:cNvPicPr>
          <a:picLocks noChangeAspect="1"/>
        </xdr:cNvPicPr>
      </xdr:nvPicPr>
      <xdr:blipFill>
        <a:blip xmlns:r="http://schemas.openxmlformats.org/officeDocument/2006/relationships" r:embed="rId3"/>
        <a:stretch>
          <a:fillRect/>
        </a:stretch>
      </xdr:blipFill>
      <xdr:spPr>
        <a:xfrm>
          <a:off x="14268450" y="2228850"/>
          <a:ext cx="2314286" cy="182857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476250</xdr:colOff>
      <xdr:row>7</xdr:row>
      <xdr:rowOff>85725</xdr:rowOff>
    </xdr:from>
    <xdr:to>
      <xdr:col>9</xdr:col>
      <xdr:colOff>409575</xdr:colOff>
      <xdr:row>15</xdr:row>
      <xdr:rowOff>9525</xdr:rowOff>
    </xdr:to>
    <xdr:sp macro="" textlink="">
      <xdr:nvSpPr>
        <xdr:cNvPr id="2" name="Oval Callout 1"/>
        <xdr:cNvSpPr/>
      </xdr:nvSpPr>
      <xdr:spPr>
        <a:xfrm>
          <a:off x="6153150" y="2228850"/>
          <a:ext cx="3105150" cy="1733550"/>
        </a:xfrm>
        <a:prstGeom prst="wedgeEllipseCallout">
          <a:avLst>
            <a:gd name="adj1" fmla="val -45770"/>
            <a:gd name="adj2" fmla="val -76539"/>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Enter amounts in the light yellow area to see depreciation for the specified</a:t>
          </a:r>
          <a:r>
            <a:rPr lang="en-US" sz="1400" baseline="0"/>
            <a:t> year based upon the DDB method.</a:t>
          </a:r>
          <a:endParaRPr lang="en-US" sz="14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419100</xdr:colOff>
      <xdr:row>0</xdr:row>
      <xdr:rowOff>285751</xdr:rowOff>
    </xdr:from>
    <xdr:to>
      <xdr:col>15</xdr:col>
      <xdr:colOff>95250</xdr:colOff>
      <xdr:row>7</xdr:row>
      <xdr:rowOff>38101</xdr:rowOff>
    </xdr:to>
    <xdr:sp macro="" textlink="">
      <xdr:nvSpPr>
        <xdr:cNvPr id="2" name="Oval Callout 1"/>
        <xdr:cNvSpPr/>
      </xdr:nvSpPr>
      <xdr:spPr>
        <a:xfrm>
          <a:off x="9848850" y="285751"/>
          <a:ext cx="3105150" cy="1638300"/>
        </a:xfrm>
        <a:prstGeom prst="wedgeEllipseCallout">
          <a:avLst>
            <a:gd name="adj1" fmla="val -68469"/>
            <a:gd name="adj2" fmla="val -32934"/>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Enter "Duplex,</a:t>
          </a:r>
          <a:r>
            <a:rPr lang="en-US" sz="1400" baseline="0"/>
            <a:t> Triplex, Apartment, or Townhome here to see how many police visits there were for that property type.</a:t>
          </a:r>
          <a:endParaRPr lang="en-US" sz="14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390525</xdr:colOff>
      <xdr:row>4</xdr:row>
      <xdr:rowOff>76200</xdr:rowOff>
    </xdr:from>
    <xdr:to>
      <xdr:col>9</xdr:col>
      <xdr:colOff>71438</xdr:colOff>
      <xdr:row>8</xdr:row>
      <xdr:rowOff>209550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43525" y="1143000"/>
          <a:ext cx="900113" cy="1200150"/>
        </a:xfrm>
        <a:prstGeom prst="rect">
          <a:avLst/>
        </a:prstGeom>
      </xdr:spPr>
    </xdr:pic>
    <xdr:clientData/>
  </xdr:twoCellAnchor>
  <xdr:twoCellAnchor>
    <xdr:from>
      <xdr:col>8</xdr:col>
      <xdr:colOff>109539</xdr:colOff>
      <xdr:row>8</xdr:row>
      <xdr:rowOff>47624</xdr:rowOff>
    </xdr:from>
    <xdr:to>
      <xdr:col>13</xdr:col>
      <xdr:colOff>395289</xdr:colOff>
      <xdr:row>19</xdr:row>
      <xdr:rowOff>114300</xdr:rowOff>
    </xdr:to>
    <xdr:sp macro="" textlink="">
      <xdr:nvSpPr>
        <xdr:cNvPr id="3" name="Oval Callout 2"/>
        <xdr:cNvSpPr/>
      </xdr:nvSpPr>
      <xdr:spPr>
        <a:xfrm>
          <a:off x="5672139" y="2181224"/>
          <a:ext cx="3333750" cy="3038476"/>
        </a:xfrm>
        <a:prstGeom prst="wedgeEllipseCallout">
          <a:avLst>
            <a:gd name="adj1" fmla="val -42386"/>
            <a:gd name="adj2" fmla="val -53101"/>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When you throw in an error value, Aggregate still works fine while Sum and SUBTOTAL do</a:t>
          </a:r>
          <a:r>
            <a:rPr lang="en-US" sz="1400" baseline="0"/>
            <a:t> not. If you hide a row, SUM and SUBTOTAL still inlcudes the hidden row, but AGGREGATE excluses the hidden row so your print out foots perfectly.</a:t>
          </a:r>
          <a:endParaRPr lang="en-US" sz="14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600075</xdr:colOff>
      <xdr:row>1</xdr:row>
      <xdr:rowOff>180975</xdr:rowOff>
    </xdr:from>
    <xdr:to>
      <xdr:col>10</xdr:col>
      <xdr:colOff>280988</xdr:colOff>
      <xdr:row>7</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48325" y="514350"/>
          <a:ext cx="900113" cy="1200150"/>
        </a:xfrm>
        <a:prstGeom prst="rect">
          <a:avLst/>
        </a:prstGeom>
      </xdr:spPr>
    </xdr:pic>
    <xdr:clientData/>
  </xdr:twoCellAnchor>
  <xdr:twoCellAnchor>
    <xdr:from>
      <xdr:col>9</xdr:col>
      <xdr:colOff>319089</xdr:colOff>
      <xdr:row>6</xdr:row>
      <xdr:rowOff>76199</xdr:rowOff>
    </xdr:from>
    <xdr:to>
      <xdr:col>14</xdr:col>
      <xdr:colOff>604839</xdr:colOff>
      <xdr:row>12</xdr:row>
      <xdr:rowOff>180975</xdr:rowOff>
    </xdr:to>
    <xdr:sp macro="" textlink="">
      <xdr:nvSpPr>
        <xdr:cNvPr id="3" name="Oval Callout 2"/>
        <xdr:cNvSpPr/>
      </xdr:nvSpPr>
      <xdr:spPr>
        <a:xfrm>
          <a:off x="5976939" y="1552574"/>
          <a:ext cx="3333750" cy="1485901"/>
        </a:xfrm>
        <a:prstGeom prst="wedgeEllipseCallout">
          <a:avLst>
            <a:gd name="adj1" fmla="val -42386"/>
            <a:gd name="adj2" fmla="val -53101"/>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Forecast uses linear</a:t>
          </a:r>
          <a:r>
            <a:rPr lang="en-US" sz="1400" baseline="0"/>
            <a:t> regression to forecast the next value in the string of values.</a:t>
          </a:r>
          <a:r>
            <a:rPr lang="en-US" sz="1400"/>
            <a:t> </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600075</xdr:colOff>
      <xdr:row>1</xdr:row>
      <xdr:rowOff>180975</xdr:rowOff>
    </xdr:from>
    <xdr:to>
      <xdr:col>10</xdr:col>
      <xdr:colOff>280988</xdr:colOff>
      <xdr:row>7</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48325" y="514350"/>
          <a:ext cx="900113" cy="1200150"/>
        </a:xfrm>
        <a:prstGeom prst="rect">
          <a:avLst/>
        </a:prstGeom>
      </xdr:spPr>
    </xdr:pic>
    <xdr:clientData/>
  </xdr:twoCellAnchor>
  <xdr:twoCellAnchor>
    <xdr:from>
      <xdr:col>9</xdr:col>
      <xdr:colOff>319089</xdr:colOff>
      <xdr:row>6</xdr:row>
      <xdr:rowOff>76199</xdr:rowOff>
    </xdr:from>
    <xdr:to>
      <xdr:col>14</xdr:col>
      <xdr:colOff>604839</xdr:colOff>
      <xdr:row>12</xdr:row>
      <xdr:rowOff>180975</xdr:rowOff>
    </xdr:to>
    <xdr:sp macro="" textlink="">
      <xdr:nvSpPr>
        <xdr:cNvPr id="3" name="Oval Callout 2"/>
        <xdr:cNvSpPr/>
      </xdr:nvSpPr>
      <xdr:spPr>
        <a:xfrm>
          <a:off x="5976939" y="1552574"/>
          <a:ext cx="3333750" cy="1485901"/>
        </a:xfrm>
        <a:prstGeom prst="wedgeEllipseCallout">
          <a:avLst>
            <a:gd name="adj1" fmla="val -42386"/>
            <a:gd name="adj2" fmla="val -53101"/>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GROWTH uses exponetial </a:t>
          </a:r>
          <a:r>
            <a:rPr lang="en-US" sz="1400" baseline="0"/>
            <a:t>regression to forecast the next value in the string of values.</a:t>
          </a:r>
          <a:r>
            <a:rPr lang="en-US" sz="1400"/>
            <a:t>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126547</xdr:colOff>
      <xdr:row>0</xdr:row>
      <xdr:rowOff>910318</xdr:rowOff>
    </xdr:from>
    <xdr:to>
      <xdr:col>13</xdr:col>
      <xdr:colOff>561975</xdr:colOff>
      <xdr:row>17</xdr:row>
      <xdr:rowOff>68036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20</xdr:row>
      <xdr:rowOff>190499</xdr:rowOff>
    </xdr:from>
    <xdr:to>
      <xdr:col>10</xdr:col>
      <xdr:colOff>239702</xdr:colOff>
      <xdr:row>36</xdr:row>
      <xdr:rowOff>161924</xdr:rowOff>
    </xdr:to>
    <xdr:pic>
      <xdr:nvPicPr>
        <xdr:cNvPr id="4" name="Picture 3"/>
        <xdr:cNvPicPr>
          <a:picLocks noChangeAspect="1"/>
        </xdr:cNvPicPr>
      </xdr:nvPicPr>
      <xdr:blipFill>
        <a:blip xmlns:r="http://schemas.openxmlformats.org/officeDocument/2006/relationships" r:embed="rId2"/>
        <a:stretch>
          <a:fillRect/>
        </a:stretch>
      </xdr:blipFill>
      <xdr:spPr>
        <a:xfrm>
          <a:off x="942975" y="5591174"/>
          <a:ext cx="6392852" cy="3019425"/>
        </a:xfrm>
        <a:prstGeom prst="rect">
          <a:avLst/>
        </a:prstGeom>
      </xdr:spPr>
    </xdr:pic>
    <xdr:clientData/>
  </xdr:twoCellAnchor>
  <xdr:twoCellAnchor editAs="oneCell">
    <xdr:from>
      <xdr:col>14</xdr:col>
      <xdr:colOff>228600</xdr:colOff>
      <xdr:row>0</xdr:row>
      <xdr:rowOff>466725</xdr:rowOff>
    </xdr:from>
    <xdr:to>
      <xdr:col>15</xdr:col>
      <xdr:colOff>519113</xdr:colOff>
      <xdr:row>4</xdr:row>
      <xdr:rowOff>28575</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63125" y="466725"/>
          <a:ext cx="900113" cy="1200150"/>
        </a:xfrm>
        <a:prstGeom prst="rect">
          <a:avLst/>
        </a:prstGeom>
      </xdr:spPr>
    </xdr:pic>
    <xdr:clientData/>
  </xdr:twoCellAnchor>
  <xdr:twoCellAnchor>
    <xdr:from>
      <xdr:col>14</xdr:col>
      <xdr:colOff>557214</xdr:colOff>
      <xdr:row>3</xdr:row>
      <xdr:rowOff>104774</xdr:rowOff>
    </xdr:from>
    <xdr:to>
      <xdr:col>20</xdr:col>
      <xdr:colOff>233364</xdr:colOff>
      <xdr:row>16</xdr:row>
      <xdr:rowOff>47625</xdr:rowOff>
    </xdr:to>
    <xdr:sp macro="" textlink="">
      <xdr:nvSpPr>
        <xdr:cNvPr id="6" name="Oval Callout 5"/>
        <xdr:cNvSpPr/>
      </xdr:nvSpPr>
      <xdr:spPr>
        <a:xfrm>
          <a:off x="10091739" y="1504949"/>
          <a:ext cx="3333750" cy="3038476"/>
        </a:xfrm>
        <a:prstGeom prst="wedgeEllipseCallout">
          <a:avLst>
            <a:gd name="adj1" fmla="val -42386"/>
            <a:gd name="adj2" fmla="val -53101"/>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To use OFFSET to create a Rolling Chart, go to the Formulas tab and select Name Manager, then create two names using the OFFSET</a:t>
          </a:r>
          <a:r>
            <a:rPr lang="en-US" sz="1400" baseline="0"/>
            <a:t> function as highlighted in the orange box below.</a:t>
          </a:r>
          <a:endParaRPr lang="en-US" sz="1400"/>
        </a:p>
      </xdr:txBody>
    </xdr:sp>
    <xdr:clientData/>
  </xdr:twoCellAnchor>
  <xdr:twoCellAnchor editAs="oneCell">
    <xdr:from>
      <xdr:col>15</xdr:col>
      <xdr:colOff>0</xdr:colOff>
      <xdr:row>20</xdr:row>
      <xdr:rowOff>0</xdr:rowOff>
    </xdr:from>
    <xdr:to>
      <xdr:col>29</xdr:col>
      <xdr:colOff>303695</xdr:colOff>
      <xdr:row>41</xdr:row>
      <xdr:rowOff>161405</xdr:rowOff>
    </xdr:to>
    <xdr:pic>
      <xdr:nvPicPr>
        <xdr:cNvPr id="7" name="Picture 6"/>
        <xdr:cNvPicPr>
          <a:picLocks noChangeAspect="1"/>
        </xdr:cNvPicPr>
      </xdr:nvPicPr>
      <xdr:blipFill>
        <a:blip xmlns:r="http://schemas.openxmlformats.org/officeDocument/2006/relationships" r:embed="rId4"/>
        <a:stretch>
          <a:fillRect/>
        </a:stretch>
      </xdr:blipFill>
      <xdr:spPr>
        <a:xfrm>
          <a:off x="10144125" y="5400675"/>
          <a:ext cx="8838095" cy="416190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600075</xdr:colOff>
      <xdr:row>2</xdr:row>
      <xdr:rowOff>180975</xdr:rowOff>
    </xdr:from>
    <xdr:to>
      <xdr:col>10</xdr:col>
      <xdr:colOff>571500</xdr:colOff>
      <xdr:row>9</xdr:row>
      <xdr:rowOff>47625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6875" y="704850"/>
          <a:ext cx="1190625" cy="1485900"/>
        </a:xfrm>
        <a:prstGeom prst="rect">
          <a:avLst/>
        </a:prstGeom>
      </xdr:spPr>
    </xdr:pic>
    <xdr:clientData/>
  </xdr:twoCellAnchor>
  <xdr:twoCellAnchor>
    <xdr:from>
      <xdr:col>9</xdr:col>
      <xdr:colOff>557214</xdr:colOff>
      <xdr:row>8</xdr:row>
      <xdr:rowOff>76199</xdr:rowOff>
    </xdr:from>
    <xdr:to>
      <xdr:col>15</xdr:col>
      <xdr:colOff>233364</xdr:colOff>
      <xdr:row>18</xdr:row>
      <xdr:rowOff>104775</xdr:rowOff>
    </xdr:to>
    <xdr:sp macro="" textlink="">
      <xdr:nvSpPr>
        <xdr:cNvPr id="3" name="Oval Callout 2"/>
        <xdr:cNvSpPr/>
      </xdr:nvSpPr>
      <xdr:spPr>
        <a:xfrm>
          <a:off x="6043614" y="1981199"/>
          <a:ext cx="3333750" cy="2124076"/>
        </a:xfrm>
        <a:prstGeom prst="wedgeEllipseCallout">
          <a:avLst>
            <a:gd name="adj1" fmla="val -42386"/>
            <a:gd name="adj2" fmla="val -53101"/>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400"/>
            <a:t>The Pearson function provides a score telling how dependable a range of values might be to be used as a basis for forecasting future amounts</a:t>
          </a:r>
          <a:r>
            <a:rPr lang="en-US" sz="1400" baseline="0"/>
            <a:t>.</a:t>
          </a:r>
          <a:r>
            <a:rPr lang="en-US" sz="1400"/>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142875</xdr:colOff>
      <xdr:row>0</xdr:row>
      <xdr:rowOff>95250</xdr:rowOff>
    </xdr:from>
    <xdr:to>
      <xdr:col>15</xdr:col>
      <xdr:colOff>514350</xdr:colOff>
      <xdr:row>18</xdr:row>
      <xdr:rowOff>28575</xdr:rowOff>
    </xdr:to>
    <xdr:pic>
      <xdr:nvPicPr>
        <xdr:cNvPr id="31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629275" y="95250"/>
          <a:ext cx="4029075" cy="3514725"/>
        </a:xfrm>
        <a:prstGeom prst="rect">
          <a:avLst/>
        </a:prstGeom>
        <a:noFill/>
        <a:ln w="1">
          <a:noFill/>
          <a:miter lim="800000"/>
          <a:headEnd/>
          <a:tailEnd/>
        </a:ln>
      </xdr:spPr>
    </xdr:pic>
    <xdr:clientData/>
  </xdr:twoCellAnchor>
  <xdr:twoCellAnchor editAs="oneCell">
    <xdr:from>
      <xdr:col>3</xdr:col>
      <xdr:colOff>381000</xdr:colOff>
      <xdr:row>22</xdr:row>
      <xdr:rowOff>47625</xdr:rowOff>
    </xdr:from>
    <xdr:to>
      <xdr:col>13</xdr:col>
      <xdr:colOff>0</xdr:colOff>
      <xdr:row>38</xdr:row>
      <xdr:rowOff>123825</xdr:rowOff>
    </xdr:to>
    <xdr:pic>
      <xdr:nvPicPr>
        <xdr:cNvPr id="3116"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2209800" y="4391025"/>
          <a:ext cx="5715000" cy="3124200"/>
        </a:xfrm>
        <a:prstGeom prst="rect">
          <a:avLst/>
        </a:prstGeom>
        <a:noFill/>
        <a:ln w="1">
          <a:noFill/>
          <a:miter lim="800000"/>
          <a:headEnd/>
          <a:tailEnd/>
        </a:ln>
      </xdr:spPr>
    </xdr:pic>
    <xdr:clientData/>
  </xdr:twoCellAnchor>
  <xdr:twoCellAnchor editAs="oneCell">
    <xdr:from>
      <xdr:col>0</xdr:col>
      <xdr:colOff>142875</xdr:colOff>
      <xdr:row>16</xdr:row>
      <xdr:rowOff>47625</xdr:rowOff>
    </xdr:from>
    <xdr:to>
      <xdr:col>9</xdr:col>
      <xdr:colOff>371475</xdr:colOff>
      <xdr:row>32</xdr:row>
      <xdr:rowOff>123825</xdr:rowOff>
    </xdr:to>
    <xdr:pic>
      <xdr:nvPicPr>
        <xdr:cNvPr id="3117"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42875" y="3248025"/>
          <a:ext cx="5715000" cy="3124200"/>
        </a:xfrm>
        <a:prstGeom prst="rect">
          <a:avLst/>
        </a:prstGeom>
        <a:noFill/>
        <a:ln w="1">
          <a:noFill/>
          <a:miter lim="800000"/>
          <a:headEnd/>
          <a:tailEnd/>
        </a:ln>
      </xdr:spPr>
    </xdr:pic>
    <xdr:clientData/>
  </xdr:twoCellAnchor>
  <xdr:oneCellAnchor>
    <xdr:from>
      <xdr:col>11</xdr:col>
      <xdr:colOff>66675</xdr:colOff>
      <xdr:row>26</xdr:row>
      <xdr:rowOff>95250</xdr:rowOff>
    </xdr:from>
    <xdr:ext cx="1547532" cy="292906"/>
    <xdr:sp macro="" textlink="">
      <xdr:nvSpPr>
        <xdr:cNvPr id="9" name="TextBox 8"/>
        <xdr:cNvSpPr txBox="1"/>
      </xdr:nvSpPr>
      <xdr:spPr>
        <a:xfrm>
          <a:off x="6772275" y="5200650"/>
          <a:ext cx="1490216" cy="264560"/>
        </a:xfrm>
        <a:prstGeom prst="rect">
          <a:avLst/>
        </a:prstGeom>
      </xdr:spPr>
      <xdr:style>
        <a:lnRef idx="1">
          <a:schemeClr val="accent1"/>
        </a:lnRef>
        <a:fillRef idx="3">
          <a:schemeClr val="accent1"/>
        </a:fillRef>
        <a:effectRef idx="2">
          <a:schemeClr val="accent1"/>
        </a:effectRef>
        <a:fontRef idx="minor">
          <a:schemeClr val="lt1"/>
        </a:fontRef>
      </xdr:style>
      <xdr:txBody>
        <a:bodyPr wrap="none" rtlCol="0" anchor="t">
          <a:spAutoFit/>
        </a:bodyPr>
        <a:lstStyle/>
        <a:p>
          <a:r>
            <a:rPr lang="en-US" sz="1100"/>
            <a:t>Argument descriptions</a:t>
          </a:r>
        </a:p>
      </xdr:txBody>
    </xdr:sp>
    <xdr:clientData/>
  </xdr:oneCellAnchor>
  <xdr:twoCellAnchor>
    <xdr:from>
      <xdr:col>9</xdr:col>
      <xdr:colOff>266701</xdr:colOff>
      <xdr:row>27</xdr:row>
      <xdr:rowOff>37030</xdr:rowOff>
    </xdr:from>
    <xdr:to>
      <xdr:col>11</xdr:col>
      <xdr:colOff>66676</xdr:colOff>
      <xdr:row>27</xdr:row>
      <xdr:rowOff>38100</xdr:rowOff>
    </xdr:to>
    <xdr:cxnSp macro="">
      <xdr:nvCxnSpPr>
        <xdr:cNvPr id="11" name="Straight Arrow Connector 10"/>
        <xdr:cNvCxnSpPr>
          <a:stCxn id="9" idx="1"/>
        </xdr:cNvCxnSpPr>
      </xdr:nvCxnSpPr>
      <xdr:spPr>
        <a:xfrm rot="10800000" flipV="1">
          <a:off x="5753101" y="5332930"/>
          <a:ext cx="1019175" cy="107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76200</xdr:colOff>
      <xdr:row>27</xdr:row>
      <xdr:rowOff>169311</xdr:rowOff>
    </xdr:from>
    <xdr:to>
      <xdr:col>12</xdr:col>
      <xdr:colOff>202183</xdr:colOff>
      <xdr:row>32</xdr:row>
      <xdr:rowOff>133351</xdr:rowOff>
    </xdr:to>
    <xdr:cxnSp macro="">
      <xdr:nvCxnSpPr>
        <xdr:cNvPr id="13" name="Elbow Connector 12"/>
        <xdr:cNvCxnSpPr>
          <a:stCxn id="9" idx="2"/>
        </xdr:cNvCxnSpPr>
      </xdr:nvCxnSpPr>
      <xdr:spPr>
        <a:xfrm rot="5400000">
          <a:off x="6691322" y="5555689"/>
          <a:ext cx="916540" cy="73558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590550</xdr:colOff>
      <xdr:row>0</xdr:row>
      <xdr:rowOff>71642</xdr:rowOff>
    </xdr:from>
    <xdr:to>
      <xdr:col>9</xdr:col>
      <xdr:colOff>28575</xdr:colOff>
      <xdr:row>3</xdr:row>
      <xdr:rowOff>160156</xdr:rowOff>
    </xdr:to>
    <xdr:pic>
      <xdr:nvPicPr>
        <xdr:cNvPr id="7169" name="Picture 1" descr="http://midnightmakeout.com/wp-content/uploads/2009/03/girl-scout-cookie-season-1-19-071.jpg"/>
        <xdr:cNvPicPr>
          <a:picLocks noChangeAspect="1" noChangeArrowheads="1"/>
        </xdr:cNvPicPr>
      </xdr:nvPicPr>
      <xdr:blipFill>
        <a:blip xmlns:r="http://schemas.openxmlformats.org/officeDocument/2006/relationships" r:embed="rId1" cstate="print"/>
        <a:srcRect/>
        <a:stretch>
          <a:fillRect/>
        </a:stretch>
      </xdr:blipFill>
      <xdr:spPr bwMode="auto">
        <a:xfrm>
          <a:off x="6324600" y="71642"/>
          <a:ext cx="2085975" cy="87908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695325</xdr:colOff>
      <xdr:row>0</xdr:row>
      <xdr:rowOff>71642</xdr:rowOff>
    </xdr:from>
    <xdr:to>
      <xdr:col>9</xdr:col>
      <xdr:colOff>133350</xdr:colOff>
      <xdr:row>3</xdr:row>
      <xdr:rowOff>160156</xdr:rowOff>
    </xdr:to>
    <xdr:pic>
      <xdr:nvPicPr>
        <xdr:cNvPr id="2" name="Picture 1" descr="http://midnightmakeout.com/wp-content/uploads/2009/03/girl-scout-cookie-season-1-19-071.jpg"/>
        <xdr:cNvPicPr>
          <a:picLocks noChangeAspect="1" noChangeArrowheads="1"/>
        </xdr:cNvPicPr>
      </xdr:nvPicPr>
      <xdr:blipFill>
        <a:blip xmlns:r="http://schemas.openxmlformats.org/officeDocument/2006/relationships" r:embed="rId1" cstate="print"/>
        <a:srcRect/>
        <a:stretch>
          <a:fillRect/>
        </a:stretch>
      </xdr:blipFill>
      <xdr:spPr bwMode="auto">
        <a:xfrm>
          <a:off x="6429375" y="71642"/>
          <a:ext cx="2085975" cy="879089"/>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542925</xdr:colOff>
      <xdr:row>1</xdr:row>
      <xdr:rowOff>238124</xdr:rowOff>
    </xdr:from>
    <xdr:to>
      <xdr:col>9</xdr:col>
      <xdr:colOff>200025</xdr:colOff>
      <xdr:row>19</xdr:row>
      <xdr:rowOff>161924</xdr:rowOff>
    </xdr:to>
    <xdr:sp macro="" textlink="">
      <xdr:nvSpPr>
        <xdr:cNvPr id="2" name="Rectangle 1"/>
        <xdr:cNvSpPr/>
      </xdr:nvSpPr>
      <xdr:spPr>
        <a:xfrm>
          <a:off x="5457825" y="533399"/>
          <a:ext cx="2790825" cy="3648075"/>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895350</xdr:colOff>
      <xdr:row>13</xdr:row>
      <xdr:rowOff>9525</xdr:rowOff>
    </xdr:from>
    <xdr:to>
      <xdr:col>8</xdr:col>
      <xdr:colOff>38100</xdr:colOff>
      <xdr:row>15</xdr:row>
      <xdr:rowOff>146050</xdr:rowOff>
    </xdr:to>
    <xdr:sp macro="" textlink="">
      <xdr:nvSpPr>
        <xdr:cNvPr id="3" name="Freeform 2"/>
        <xdr:cNvSpPr/>
      </xdr:nvSpPr>
      <xdr:spPr>
        <a:xfrm>
          <a:off x="4276725" y="2505075"/>
          <a:ext cx="2962275" cy="536575"/>
        </a:xfrm>
        <a:custGeom>
          <a:avLst/>
          <a:gdLst>
            <a:gd name="connsiteX0" fmla="*/ 2962275 w 2962275"/>
            <a:gd name="connsiteY0" fmla="*/ 304800 h 536575"/>
            <a:gd name="connsiteX1" fmla="*/ 895350 w 2962275"/>
            <a:gd name="connsiteY1" fmla="*/ 485775 h 536575"/>
            <a:gd name="connsiteX2" fmla="*/ 0 w 2962275"/>
            <a:gd name="connsiteY2" fmla="*/ 0 h 536575"/>
          </a:gdLst>
          <a:ahLst/>
          <a:cxnLst>
            <a:cxn ang="0">
              <a:pos x="connsiteX0" y="connsiteY0"/>
            </a:cxn>
            <a:cxn ang="0">
              <a:pos x="connsiteX1" y="connsiteY1"/>
            </a:cxn>
            <a:cxn ang="0">
              <a:pos x="connsiteX2" y="connsiteY2"/>
            </a:cxn>
          </a:cxnLst>
          <a:rect l="l" t="t" r="r" b="b"/>
          <a:pathLst>
            <a:path w="2962275" h="536575">
              <a:moveTo>
                <a:pt x="2962275" y="304800"/>
              </a:moveTo>
              <a:cubicBezTo>
                <a:pt x="2175668" y="420687"/>
                <a:pt x="1389062" y="536575"/>
                <a:pt x="895350" y="485775"/>
              </a:cubicBezTo>
              <a:cubicBezTo>
                <a:pt x="401638" y="434975"/>
                <a:pt x="0" y="0"/>
                <a:pt x="0" y="0"/>
              </a:cubicBezTo>
            </a:path>
          </a:pathLst>
        </a:custGeom>
        <a:ln w="28575">
          <a:solidFill>
            <a:srgbClr val="FF0000"/>
          </a:solidFill>
          <a:prstDash val="sysDash"/>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4</xdr:col>
      <xdr:colOff>647700</xdr:colOff>
      <xdr:row>15</xdr:row>
      <xdr:rowOff>190500</xdr:rowOff>
    </xdr:from>
    <xdr:to>
      <xdr:col>10</xdr:col>
      <xdr:colOff>152400</xdr:colOff>
      <xdr:row>24</xdr:row>
      <xdr:rowOff>1587</xdr:rowOff>
    </xdr:to>
    <xdr:sp macro="" textlink="">
      <xdr:nvSpPr>
        <xdr:cNvPr id="4" name="Freeform 3"/>
        <xdr:cNvSpPr/>
      </xdr:nvSpPr>
      <xdr:spPr>
        <a:xfrm>
          <a:off x="4029075" y="3086100"/>
          <a:ext cx="4781550" cy="1649412"/>
        </a:xfrm>
        <a:custGeom>
          <a:avLst/>
          <a:gdLst>
            <a:gd name="connsiteX0" fmla="*/ 0 w 4781550"/>
            <a:gd name="connsiteY0" fmla="*/ 476250 h 1649412"/>
            <a:gd name="connsiteX1" fmla="*/ 1590675 w 4781550"/>
            <a:gd name="connsiteY1" fmla="*/ 1495425 h 1649412"/>
            <a:gd name="connsiteX2" fmla="*/ 4238625 w 4781550"/>
            <a:gd name="connsiteY2" fmla="*/ 1400175 h 1649412"/>
            <a:gd name="connsiteX3" fmla="*/ 4752975 w 4781550"/>
            <a:gd name="connsiteY3" fmla="*/ 219075 h 1649412"/>
            <a:gd name="connsiteX4" fmla="*/ 4067175 w 4781550"/>
            <a:gd name="connsiteY4" fmla="*/ 85725 h 164941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781550" h="1649412">
              <a:moveTo>
                <a:pt x="0" y="476250"/>
              </a:moveTo>
              <a:cubicBezTo>
                <a:pt x="442119" y="908844"/>
                <a:pt x="884238" y="1341438"/>
                <a:pt x="1590675" y="1495425"/>
              </a:cubicBezTo>
              <a:cubicBezTo>
                <a:pt x="2297112" y="1649412"/>
                <a:pt x="3711575" y="1612900"/>
                <a:pt x="4238625" y="1400175"/>
              </a:cubicBezTo>
              <a:cubicBezTo>
                <a:pt x="4765675" y="1187450"/>
                <a:pt x="4781550" y="438150"/>
                <a:pt x="4752975" y="219075"/>
              </a:cubicBezTo>
              <a:cubicBezTo>
                <a:pt x="4724400" y="0"/>
                <a:pt x="4067175" y="85725"/>
                <a:pt x="4067175" y="85725"/>
              </a:cubicBezTo>
            </a:path>
          </a:pathLst>
        </a:custGeom>
        <a:ln w="28575">
          <a:solidFill>
            <a:srgbClr val="FF0000"/>
          </a:solidFill>
          <a:prstDash val="sysDash"/>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466725</xdr:colOff>
      <xdr:row>8</xdr:row>
      <xdr:rowOff>47625</xdr:rowOff>
    </xdr:from>
    <xdr:to>
      <xdr:col>11</xdr:col>
      <xdr:colOff>600075</xdr:colOff>
      <xdr:row>22</xdr:row>
      <xdr:rowOff>19050</xdr:rowOff>
    </xdr:to>
    <xdr:pic>
      <xdr:nvPicPr>
        <xdr:cNvPr id="18433" name="Picture 1" descr="http://www.reallyfunnypictures.co.uk/coolpictures/pics/16.09.06/gangsta_gadget.jpg"/>
        <xdr:cNvPicPr>
          <a:picLocks noChangeAspect="1" noChangeArrowheads="1"/>
        </xdr:cNvPicPr>
      </xdr:nvPicPr>
      <xdr:blipFill>
        <a:blip xmlns:r="http://schemas.openxmlformats.org/officeDocument/2006/relationships" r:embed="rId1" cstate="print"/>
        <a:srcRect/>
        <a:stretch>
          <a:fillRect/>
        </a:stretch>
      </xdr:blipFill>
      <xdr:spPr bwMode="auto">
        <a:xfrm>
          <a:off x="5267325" y="1952625"/>
          <a:ext cx="4095750" cy="2857500"/>
        </a:xfrm>
        <a:prstGeom prst="rect">
          <a:avLst/>
        </a:prstGeom>
        <a:noFill/>
      </xdr:spPr>
    </xdr:pic>
    <xdr:clientData/>
  </xdr:twoCellAnchor>
  <xdr:twoCellAnchor>
    <xdr:from>
      <xdr:col>0</xdr:col>
      <xdr:colOff>514350</xdr:colOff>
      <xdr:row>10</xdr:row>
      <xdr:rowOff>104775</xdr:rowOff>
    </xdr:from>
    <xdr:to>
      <xdr:col>6</xdr:col>
      <xdr:colOff>142875</xdr:colOff>
      <xdr:row>20</xdr:row>
      <xdr:rowOff>133350</xdr:rowOff>
    </xdr:to>
    <xdr:sp macro="" textlink="">
      <xdr:nvSpPr>
        <xdr:cNvPr id="3" name="Rectangle 2"/>
        <xdr:cNvSpPr/>
      </xdr:nvSpPr>
      <xdr:spPr>
        <a:xfrm>
          <a:off x="514350" y="2609850"/>
          <a:ext cx="4010025" cy="2114550"/>
        </a:xfrm>
        <a:prstGeom prst="rect">
          <a:avLst/>
        </a:prstGeom>
        <a:noFill/>
        <a:ln cmpd="dbl">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542925</xdr:colOff>
      <xdr:row>1</xdr:row>
      <xdr:rowOff>238124</xdr:rowOff>
    </xdr:from>
    <xdr:to>
      <xdr:col>9</xdr:col>
      <xdr:colOff>200025</xdr:colOff>
      <xdr:row>19</xdr:row>
      <xdr:rowOff>161924</xdr:rowOff>
    </xdr:to>
    <xdr:sp macro="" textlink="">
      <xdr:nvSpPr>
        <xdr:cNvPr id="2" name="Rectangle 1"/>
        <xdr:cNvSpPr/>
      </xdr:nvSpPr>
      <xdr:spPr>
        <a:xfrm>
          <a:off x="5457825" y="533399"/>
          <a:ext cx="2790825" cy="3648075"/>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895350</xdr:colOff>
      <xdr:row>13</xdr:row>
      <xdr:rowOff>9525</xdr:rowOff>
    </xdr:from>
    <xdr:to>
      <xdr:col>8</xdr:col>
      <xdr:colOff>38100</xdr:colOff>
      <xdr:row>15</xdr:row>
      <xdr:rowOff>146050</xdr:rowOff>
    </xdr:to>
    <xdr:sp macro="" textlink="">
      <xdr:nvSpPr>
        <xdr:cNvPr id="3" name="Freeform 2"/>
        <xdr:cNvSpPr/>
      </xdr:nvSpPr>
      <xdr:spPr>
        <a:xfrm>
          <a:off x="4276725" y="2800350"/>
          <a:ext cx="2962275" cy="536575"/>
        </a:xfrm>
        <a:custGeom>
          <a:avLst/>
          <a:gdLst>
            <a:gd name="connsiteX0" fmla="*/ 2962275 w 2962275"/>
            <a:gd name="connsiteY0" fmla="*/ 304800 h 536575"/>
            <a:gd name="connsiteX1" fmla="*/ 895350 w 2962275"/>
            <a:gd name="connsiteY1" fmla="*/ 485775 h 536575"/>
            <a:gd name="connsiteX2" fmla="*/ 0 w 2962275"/>
            <a:gd name="connsiteY2" fmla="*/ 0 h 536575"/>
          </a:gdLst>
          <a:ahLst/>
          <a:cxnLst>
            <a:cxn ang="0">
              <a:pos x="connsiteX0" y="connsiteY0"/>
            </a:cxn>
            <a:cxn ang="0">
              <a:pos x="connsiteX1" y="connsiteY1"/>
            </a:cxn>
            <a:cxn ang="0">
              <a:pos x="connsiteX2" y="connsiteY2"/>
            </a:cxn>
          </a:cxnLst>
          <a:rect l="l" t="t" r="r" b="b"/>
          <a:pathLst>
            <a:path w="2962275" h="536575">
              <a:moveTo>
                <a:pt x="2962275" y="304800"/>
              </a:moveTo>
              <a:cubicBezTo>
                <a:pt x="2175668" y="420687"/>
                <a:pt x="1389062" y="536575"/>
                <a:pt x="895350" y="485775"/>
              </a:cubicBezTo>
              <a:cubicBezTo>
                <a:pt x="401638" y="434975"/>
                <a:pt x="0" y="0"/>
                <a:pt x="0" y="0"/>
              </a:cubicBezTo>
            </a:path>
          </a:pathLst>
        </a:custGeom>
        <a:ln w="28575">
          <a:solidFill>
            <a:srgbClr val="FF0000"/>
          </a:solidFill>
          <a:prstDash val="sysDash"/>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4</xdr:col>
      <xdr:colOff>647700</xdr:colOff>
      <xdr:row>15</xdr:row>
      <xdr:rowOff>190500</xdr:rowOff>
    </xdr:from>
    <xdr:to>
      <xdr:col>10</xdr:col>
      <xdr:colOff>152400</xdr:colOff>
      <xdr:row>24</xdr:row>
      <xdr:rowOff>1587</xdr:rowOff>
    </xdr:to>
    <xdr:sp macro="" textlink="">
      <xdr:nvSpPr>
        <xdr:cNvPr id="4" name="Freeform 3"/>
        <xdr:cNvSpPr/>
      </xdr:nvSpPr>
      <xdr:spPr>
        <a:xfrm>
          <a:off x="4029075" y="3381375"/>
          <a:ext cx="4781550" cy="1649412"/>
        </a:xfrm>
        <a:custGeom>
          <a:avLst/>
          <a:gdLst>
            <a:gd name="connsiteX0" fmla="*/ 0 w 4781550"/>
            <a:gd name="connsiteY0" fmla="*/ 476250 h 1649412"/>
            <a:gd name="connsiteX1" fmla="*/ 1590675 w 4781550"/>
            <a:gd name="connsiteY1" fmla="*/ 1495425 h 1649412"/>
            <a:gd name="connsiteX2" fmla="*/ 4238625 w 4781550"/>
            <a:gd name="connsiteY2" fmla="*/ 1400175 h 1649412"/>
            <a:gd name="connsiteX3" fmla="*/ 4752975 w 4781550"/>
            <a:gd name="connsiteY3" fmla="*/ 219075 h 1649412"/>
            <a:gd name="connsiteX4" fmla="*/ 4067175 w 4781550"/>
            <a:gd name="connsiteY4" fmla="*/ 85725 h 164941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781550" h="1649412">
              <a:moveTo>
                <a:pt x="0" y="476250"/>
              </a:moveTo>
              <a:cubicBezTo>
                <a:pt x="442119" y="908844"/>
                <a:pt x="884238" y="1341438"/>
                <a:pt x="1590675" y="1495425"/>
              </a:cubicBezTo>
              <a:cubicBezTo>
                <a:pt x="2297112" y="1649412"/>
                <a:pt x="3711575" y="1612900"/>
                <a:pt x="4238625" y="1400175"/>
              </a:cubicBezTo>
              <a:cubicBezTo>
                <a:pt x="4765675" y="1187450"/>
                <a:pt x="4781550" y="438150"/>
                <a:pt x="4752975" y="219075"/>
              </a:cubicBezTo>
              <a:cubicBezTo>
                <a:pt x="4724400" y="0"/>
                <a:pt x="4067175" y="85725"/>
                <a:pt x="4067175" y="85725"/>
              </a:cubicBezTo>
            </a:path>
          </a:pathLst>
        </a:custGeom>
        <a:ln w="28575">
          <a:solidFill>
            <a:srgbClr val="FF0000"/>
          </a:solidFill>
          <a:prstDash val="sysDash"/>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101600</xdr:colOff>
      <xdr:row>39</xdr:row>
      <xdr:rowOff>85725</xdr:rowOff>
    </xdr:from>
    <xdr:to>
      <xdr:col>20</xdr:col>
      <xdr:colOff>66675</xdr:colOff>
      <xdr:row>46</xdr:row>
      <xdr:rowOff>180975</xdr:rowOff>
    </xdr:to>
    <xdr:sp macro="" textlink="">
      <xdr:nvSpPr>
        <xdr:cNvPr id="3" name="Rectangular Callout 2"/>
        <xdr:cNvSpPr/>
      </xdr:nvSpPr>
      <xdr:spPr>
        <a:xfrm>
          <a:off x="21310600" y="8975725"/>
          <a:ext cx="1425575" cy="1428750"/>
        </a:xfrm>
        <a:prstGeom prst="wedgeRectCallout">
          <a:avLst>
            <a:gd name="adj1" fmla="val 18093"/>
            <a:gd name="adj2" fmla="val -91640"/>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2. The String without spaces is 73 characters long</a:t>
          </a:r>
          <a:endParaRPr lang="en-US" sz="1100"/>
        </a:p>
      </xdr:txBody>
    </xdr:sp>
    <xdr:clientData/>
  </xdr:twoCellAnchor>
  <xdr:twoCellAnchor>
    <xdr:from>
      <xdr:col>15</xdr:col>
      <xdr:colOff>635000</xdr:colOff>
      <xdr:row>39</xdr:row>
      <xdr:rowOff>85725</xdr:rowOff>
    </xdr:from>
    <xdr:to>
      <xdr:col>17</xdr:col>
      <xdr:colOff>584200</xdr:colOff>
      <xdr:row>46</xdr:row>
      <xdr:rowOff>180975</xdr:rowOff>
    </xdr:to>
    <xdr:sp macro="" textlink="">
      <xdr:nvSpPr>
        <xdr:cNvPr id="4" name="Rectangular Callout 3"/>
        <xdr:cNvSpPr/>
      </xdr:nvSpPr>
      <xdr:spPr>
        <a:xfrm>
          <a:off x="19653250" y="8975725"/>
          <a:ext cx="1409700" cy="1428750"/>
        </a:xfrm>
        <a:prstGeom prst="wedgeRectCallout">
          <a:avLst>
            <a:gd name="adj1" fmla="val 18093"/>
            <a:gd name="adj2" fmla="val -91640"/>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1. The total String is 80 characters long</a:t>
          </a:r>
          <a:endParaRPr lang="en-US" sz="1100"/>
        </a:p>
      </xdr:txBody>
    </xdr:sp>
    <xdr:clientData/>
  </xdr:twoCellAnchor>
  <xdr:twoCellAnchor>
    <xdr:from>
      <xdr:col>16</xdr:col>
      <xdr:colOff>714375</xdr:colOff>
      <xdr:row>47</xdr:row>
      <xdr:rowOff>104776</xdr:rowOff>
    </xdr:from>
    <xdr:to>
      <xdr:col>19</xdr:col>
      <xdr:colOff>47625</xdr:colOff>
      <xdr:row>49</xdr:row>
      <xdr:rowOff>66676</xdr:rowOff>
    </xdr:to>
    <xdr:sp macro="" textlink="">
      <xdr:nvSpPr>
        <xdr:cNvPr id="6" name="TextBox 5"/>
        <xdr:cNvSpPr txBox="1"/>
      </xdr:nvSpPr>
      <xdr:spPr>
        <a:xfrm>
          <a:off x="20462875" y="10518776"/>
          <a:ext cx="15240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t>80 - 73 = 7</a:t>
          </a:r>
        </a:p>
      </xdr:txBody>
    </xdr:sp>
    <xdr:clientData/>
  </xdr:twoCellAnchor>
  <xdr:twoCellAnchor>
    <xdr:from>
      <xdr:col>14</xdr:col>
      <xdr:colOff>352422</xdr:colOff>
      <xdr:row>26</xdr:row>
      <xdr:rowOff>7408</xdr:rowOff>
    </xdr:from>
    <xdr:to>
      <xdr:col>16</xdr:col>
      <xdr:colOff>291038</xdr:colOff>
      <xdr:row>32</xdr:row>
      <xdr:rowOff>189441</xdr:rowOff>
    </xdr:to>
    <xdr:sp macro="" textlink="">
      <xdr:nvSpPr>
        <xdr:cNvPr id="7" name="Rectangular Callout 6"/>
        <xdr:cNvSpPr/>
      </xdr:nvSpPr>
      <xdr:spPr>
        <a:xfrm>
          <a:off x="18640422" y="6198658"/>
          <a:ext cx="1399116" cy="1515533"/>
        </a:xfrm>
        <a:prstGeom prst="wedgeRectCallout">
          <a:avLst>
            <a:gd name="adj1" fmla="val -19910"/>
            <a:gd name="adj2" fmla="val 79449"/>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3. This substitutes  "#" for the last space</a:t>
          </a:r>
          <a:endParaRPr lang="en-US" sz="1100"/>
        </a:p>
      </xdr:txBody>
    </xdr:sp>
    <xdr:clientData/>
  </xdr:twoCellAnchor>
  <xdr:twoCellAnchor>
    <xdr:from>
      <xdr:col>12</xdr:col>
      <xdr:colOff>296333</xdr:colOff>
      <xdr:row>26</xdr:row>
      <xdr:rowOff>0</xdr:rowOff>
    </xdr:from>
    <xdr:to>
      <xdr:col>14</xdr:col>
      <xdr:colOff>236008</xdr:colOff>
      <xdr:row>32</xdr:row>
      <xdr:rowOff>182033</xdr:rowOff>
    </xdr:to>
    <xdr:sp macro="" textlink="">
      <xdr:nvSpPr>
        <xdr:cNvPr id="8" name="Rectangular Callout 7"/>
        <xdr:cNvSpPr/>
      </xdr:nvSpPr>
      <xdr:spPr>
        <a:xfrm>
          <a:off x="17123833" y="6191250"/>
          <a:ext cx="1400175" cy="1515533"/>
        </a:xfrm>
        <a:prstGeom prst="wedgeRectCallout">
          <a:avLst>
            <a:gd name="adj1" fmla="val 21819"/>
            <a:gd name="adj2" fmla="val 82941"/>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4. This Searches for the "#" and determines position (63)</a:t>
          </a:r>
        </a:p>
      </xdr:txBody>
    </xdr:sp>
    <xdr:clientData/>
  </xdr:twoCellAnchor>
  <xdr:twoCellAnchor>
    <xdr:from>
      <xdr:col>11</xdr:col>
      <xdr:colOff>476249</xdr:colOff>
      <xdr:row>39</xdr:row>
      <xdr:rowOff>52915</xdr:rowOff>
    </xdr:from>
    <xdr:to>
      <xdr:col>13</xdr:col>
      <xdr:colOff>424391</xdr:colOff>
      <xdr:row>46</xdr:row>
      <xdr:rowOff>148165</xdr:rowOff>
    </xdr:to>
    <xdr:sp macro="" textlink="">
      <xdr:nvSpPr>
        <xdr:cNvPr id="9" name="Rectangular Callout 8"/>
        <xdr:cNvSpPr/>
      </xdr:nvSpPr>
      <xdr:spPr>
        <a:xfrm>
          <a:off x="16573499" y="8942915"/>
          <a:ext cx="1408642" cy="1428750"/>
        </a:xfrm>
        <a:prstGeom prst="wedgeRectCallout">
          <a:avLst>
            <a:gd name="adj1" fmla="val 18093"/>
            <a:gd name="adj2" fmla="val -91640"/>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5. This calculates the number of characters after the "#"</a:t>
          </a:r>
          <a:endParaRPr lang="en-US" sz="1100"/>
        </a:p>
      </xdr:txBody>
    </xdr:sp>
    <xdr:clientData/>
  </xdr:twoCellAnchor>
  <xdr:twoCellAnchor>
    <xdr:from>
      <xdr:col>8</xdr:col>
      <xdr:colOff>2698751</xdr:colOff>
      <xdr:row>30</xdr:row>
      <xdr:rowOff>127000</xdr:rowOff>
    </xdr:from>
    <xdr:to>
      <xdr:col>10</xdr:col>
      <xdr:colOff>487892</xdr:colOff>
      <xdr:row>37</xdr:row>
      <xdr:rowOff>158750</xdr:rowOff>
    </xdr:to>
    <xdr:sp macro="" textlink="">
      <xdr:nvSpPr>
        <xdr:cNvPr id="10" name="Rectangular Callout 9"/>
        <xdr:cNvSpPr/>
      </xdr:nvSpPr>
      <xdr:spPr>
        <a:xfrm>
          <a:off x="14414501" y="7207250"/>
          <a:ext cx="1440391" cy="1460500"/>
        </a:xfrm>
        <a:prstGeom prst="wedgeRectCallout">
          <a:avLst>
            <a:gd name="adj1" fmla="val 91918"/>
            <a:gd name="adj2" fmla="val 20332"/>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6. This starts at the right and grabs the 17 characters</a:t>
          </a:r>
          <a:r>
            <a:rPr lang="en-US" sz="1600" baseline="0"/>
            <a:t> after the "#"</a:t>
          </a:r>
          <a:endParaRPr lang="en-US" sz="1100"/>
        </a:p>
      </xdr:txBody>
    </xdr:sp>
    <xdr:clientData/>
  </xdr:twoCellAnchor>
  <xdr:twoCellAnchor>
    <xdr:from>
      <xdr:col>11</xdr:col>
      <xdr:colOff>381000</xdr:colOff>
      <xdr:row>48</xdr:row>
      <xdr:rowOff>0</xdr:rowOff>
    </xdr:from>
    <xdr:to>
      <xdr:col>13</xdr:col>
      <xdr:colOff>424392</xdr:colOff>
      <xdr:row>49</xdr:row>
      <xdr:rowOff>162983</xdr:rowOff>
    </xdr:to>
    <xdr:sp macro="" textlink="">
      <xdr:nvSpPr>
        <xdr:cNvPr id="11" name="TextBox 10"/>
        <xdr:cNvSpPr txBox="1"/>
      </xdr:nvSpPr>
      <xdr:spPr>
        <a:xfrm>
          <a:off x="16478250" y="10604500"/>
          <a:ext cx="1503892" cy="3534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t>80 - 63 = 17</a:t>
          </a:r>
        </a:p>
      </xdr:txBody>
    </xdr:sp>
    <xdr:clientData/>
  </xdr:twoCellAnchor>
  <xdr:twoCellAnchor editAs="oneCell">
    <xdr:from>
      <xdr:col>3</xdr:col>
      <xdr:colOff>523874</xdr:colOff>
      <xdr:row>24</xdr:row>
      <xdr:rowOff>111125</xdr:rowOff>
    </xdr:from>
    <xdr:to>
      <xdr:col>7</xdr:col>
      <xdr:colOff>380999</xdr:colOff>
      <xdr:row>46</xdr:row>
      <xdr:rowOff>146050</xdr:rowOff>
    </xdr:to>
    <xdr:pic>
      <xdr:nvPicPr>
        <xdr:cNvPr id="337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45374" y="5889625"/>
          <a:ext cx="8493125" cy="47180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ton/Documents/2012/Rolling%20Charts%20Excel%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Live"/>
      <sheetName val="Exercise"/>
      <sheetName val="Rolling Charts Excel Workbook"/>
    </sheetNames>
    <definedNames>
      <definedName name="Month" refersTo="#REF!"/>
      <definedName name="Revenue" refersTo="#REF!"/>
    </definedNames>
    <sheetDataSet>
      <sheetData sheetId="0">
        <row r="1">
          <cell r="B1" t="str">
            <v>Revenue in $000,000</v>
          </cell>
        </row>
      </sheetData>
      <sheetData sheetId="1">
        <row r="1">
          <cell r="B1" t="str">
            <v>Total Sales</v>
          </cell>
        </row>
      </sheetData>
      <sheetData sheetId="2" refreshError="1"/>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rlton" refreshedDate="40261.41507800926" createdVersion="3" refreshedVersion="3" minRefreshableVersion="3" recordCount="153">
  <cacheSource type="worksheet">
    <worksheetSource ref="A62:J215" sheet="65 GETPIVOTDATA"/>
  </cacheSource>
  <cacheFields count="10">
    <cacheField name="Staff" numFmtId="0">
      <sharedItems count="16">
        <s v="Abby"/>
        <s v="Bill"/>
        <s v="Brenda"/>
        <s v="Jennifer"/>
        <s v="Jesseca"/>
        <s v="John"/>
        <s v="Kathleen"/>
        <s v="Keith"/>
        <s v="Martha"/>
        <s v="Martin"/>
        <s v="nancy"/>
        <s v="Phil"/>
        <s v="Sam"/>
        <s v="Sandra"/>
        <s v="Steve"/>
        <s v="Kevin"/>
      </sharedItems>
    </cacheField>
    <cacheField name="Month" numFmtId="0">
      <sharedItems count="4">
        <s v="January"/>
        <s v="March"/>
        <s v="April"/>
        <s v="February"/>
      </sharedItems>
    </cacheField>
    <cacheField name="Work" numFmtId="0">
      <sharedItems containsMixedTypes="1" containsNumber="1" containsInteger="1" minValue="1040" maxValue="1120"/>
    </cacheField>
    <cacheField name="Partner" numFmtId="0">
      <sharedItems/>
    </cacheField>
    <cacheField name="Client" numFmtId="0">
      <sharedItems/>
    </cacheField>
    <cacheField name="Type" numFmtId="0">
      <sharedItems/>
    </cacheField>
    <cacheField name="Hours" numFmtId="168">
      <sharedItems containsSemiMixedTypes="0" containsString="0" containsNumber="1" minValue="2" maxValue="32"/>
    </cacheField>
    <cacheField name="Billings" numFmtId="164">
      <sharedItems containsSemiMixedTypes="0" containsString="0" containsNumber="1" minValue="150" maxValue="4000"/>
    </cacheField>
    <cacheField name="Budget" numFmtId="164">
      <sharedItems containsSemiMixedTypes="0" containsString="0" containsNumber="1" minValue="148.5" maxValue="5400"/>
    </cacheField>
    <cacheField name="Under/Over" numFmtId="164">
      <sharedItems containsSemiMixedTypes="0" containsString="0" containsNumber="1" minValue="-1400" maxValue="3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3">
  <r>
    <x v="0"/>
    <x v="0"/>
    <n v="1040"/>
    <s v="Coleman"/>
    <s v="Lisa Sullivan"/>
    <s v="Individual"/>
    <n v="19"/>
    <n v="1425"/>
    <n v="1311"/>
    <n v="114"/>
  </r>
  <r>
    <x v="1"/>
    <x v="1"/>
    <n v="1065"/>
    <s v="Coleman"/>
    <s v="Sam's Services"/>
    <s v="Corporate"/>
    <n v="22"/>
    <n v="1650"/>
    <n v="1848"/>
    <n v="-198"/>
  </r>
  <r>
    <x v="2"/>
    <x v="2"/>
    <s v="Financial Planning"/>
    <s v="Smith"/>
    <s v="Betty Harrington"/>
    <s v="Individual"/>
    <n v="10.199999999999999"/>
    <n v="1020"/>
    <n v="1377"/>
    <n v="-357"/>
  </r>
  <r>
    <x v="3"/>
    <x v="1"/>
    <n v="1065"/>
    <s v="Coleman"/>
    <s v="Lisa Sullivan"/>
    <s v="Individual"/>
    <n v="18.399999999999999"/>
    <n v="630"/>
    <n v="705.6"/>
    <n v="-75.600000000000023"/>
  </r>
  <r>
    <x v="3"/>
    <x v="0"/>
    <n v="1120"/>
    <s v="Coleman"/>
    <s v="Sam's Services"/>
    <s v="Corporate"/>
    <n v="32"/>
    <n v="2400"/>
    <n v="2208"/>
    <n v="192"/>
  </r>
  <r>
    <x v="3"/>
    <x v="1"/>
    <n v="1040"/>
    <s v="Coleman"/>
    <s v="Tony Davis"/>
    <s v="Individual"/>
    <n v="2.6"/>
    <n v="195"/>
    <n v="218.4"/>
    <n v="-23.400000000000006"/>
  </r>
  <r>
    <x v="4"/>
    <x v="1"/>
    <n v="1040"/>
    <s v="Coleman"/>
    <s v="Betty Harrington"/>
    <s v="Individual"/>
    <n v="19"/>
    <n v="1900"/>
    <n v="2128"/>
    <n v="-228"/>
  </r>
  <r>
    <x v="4"/>
    <x v="1"/>
    <n v="1120"/>
    <s v="Coleman"/>
    <s v="Course Concrete"/>
    <s v="Corporate"/>
    <n v="17"/>
    <n v="1700"/>
    <n v="1904"/>
    <n v="-204"/>
  </r>
  <r>
    <x v="5"/>
    <x v="1"/>
    <n v="1040"/>
    <s v="Coleman"/>
    <s v="Mindy Simmon"/>
    <s v="Individual"/>
    <n v="16"/>
    <n v="1600"/>
    <n v="1792"/>
    <n v="-192"/>
  </r>
  <r>
    <x v="4"/>
    <x v="0"/>
    <n v="1040"/>
    <s v="Coleman"/>
    <s v="Molly Francis"/>
    <s v="Individual"/>
    <n v="3.5"/>
    <n v="350"/>
    <n v="322"/>
    <n v="28"/>
  </r>
  <r>
    <x v="4"/>
    <x v="0"/>
    <n v="1040"/>
    <s v="Coleman"/>
    <s v="Robert Kennedy"/>
    <s v="Individual"/>
    <n v="3.7"/>
    <n v="370"/>
    <n v="340.4"/>
    <n v="29.600000000000023"/>
  </r>
  <r>
    <x v="4"/>
    <x v="1"/>
    <n v="1040"/>
    <s v="Coleman"/>
    <s v="Robert Kennedy"/>
    <s v="Individual"/>
    <n v="8.4"/>
    <n v="840"/>
    <n v="940.8"/>
    <n v="-100.79999999999995"/>
  </r>
  <r>
    <x v="4"/>
    <x v="1"/>
    <n v="1040"/>
    <s v="Coleman"/>
    <s v="Tommy Pruitt"/>
    <s v="Individual"/>
    <n v="8"/>
    <n v="800"/>
    <n v="896"/>
    <n v="-96"/>
  </r>
  <r>
    <x v="4"/>
    <x v="0"/>
    <n v="1040"/>
    <s v="Coleman"/>
    <s v="Tommy Pruitt"/>
    <s v="Individual"/>
    <n v="6"/>
    <n v="600"/>
    <n v="552"/>
    <n v="48"/>
  </r>
  <r>
    <x v="5"/>
    <x v="1"/>
    <n v="1120"/>
    <s v="Coleman"/>
    <s v="Camera Shot"/>
    <s v="Corporate"/>
    <n v="2"/>
    <n v="150"/>
    <n v="168"/>
    <n v="-18"/>
  </r>
  <r>
    <x v="6"/>
    <x v="2"/>
    <n v="1040"/>
    <s v="Coleman"/>
    <s v="Robert Kennedy"/>
    <s v="Individual"/>
    <n v="2"/>
    <n v="200"/>
    <n v="270"/>
    <n v="-70"/>
  </r>
  <r>
    <x v="7"/>
    <x v="3"/>
    <n v="1040"/>
    <s v="Coleman"/>
    <s v="Mindy Simmon"/>
    <s v="Individual"/>
    <n v="32"/>
    <n v="3200"/>
    <n v="3168"/>
    <n v="32"/>
  </r>
  <r>
    <x v="8"/>
    <x v="3"/>
    <n v="1120"/>
    <s v="Coleman"/>
    <s v="Course Concrete"/>
    <s v="Corporate"/>
    <n v="8"/>
    <n v="800"/>
    <n v="792"/>
    <n v="8"/>
  </r>
  <r>
    <x v="8"/>
    <x v="2"/>
    <s v="Fidiciary"/>
    <s v="Coleman"/>
    <s v="Molly Francis"/>
    <s v="Individual"/>
    <n v="6"/>
    <n v="600"/>
    <n v="810"/>
    <n v="-210"/>
  </r>
  <r>
    <x v="9"/>
    <x v="2"/>
    <s v="Fidiciary"/>
    <s v="Coleman"/>
    <s v="Boris Tellman"/>
    <s v="Individual"/>
    <n v="6"/>
    <n v="750"/>
    <n v="1012.5"/>
    <n v="-262.5"/>
  </r>
  <r>
    <x v="9"/>
    <x v="3"/>
    <n v="1040"/>
    <s v="Coleman"/>
    <s v="Boris Tellman"/>
    <s v="Individual"/>
    <n v="3.5"/>
    <n v="437.5"/>
    <n v="433.125"/>
    <n v="4.375"/>
  </r>
  <r>
    <x v="9"/>
    <x v="3"/>
    <n v="1040"/>
    <s v="Coleman"/>
    <s v="Charlie Sullivan"/>
    <s v="Individual"/>
    <n v="2"/>
    <n v="250"/>
    <n v="247.5"/>
    <n v="2.5"/>
  </r>
  <r>
    <x v="9"/>
    <x v="2"/>
    <n v="1040"/>
    <s v="Coleman"/>
    <s v="Charlie Sullivan"/>
    <s v="Individual"/>
    <n v="10.199999999999999"/>
    <n v="1275"/>
    <n v="1721.25"/>
    <n v="-446.25"/>
  </r>
  <r>
    <x v="9"/>
    <x v="2"/>
    <n v="1120"/>
    <s v="Coleman"/>
    <s v="Door to Door, Inc."/>
    <s v="Corporate"/>
    <n v="12"/>
    <n v="1500"/>
    <n v="2025"/>
    <n v="-525"/>
  </r>
  <r>
    <x v="9"/>
    <x v="3"/>
    <n v="1040"/>
    <s v="Coleman"/>
    <s v="Doug Thomas"/>
    <s v="Individual"/>
    <n v="4.5"/>
    <n v="562.5"/>
    <n v="556.875"/>
    <n v="5.625"/>
  </r>
  <r>
    <x v="9"/>
    <x v="2"/>
    <n v="1065"/>
    <s v="Coleman"/>
    <s v="Granite Right"/>
    <s v="Corporate"/>
    <n v="8"/>
    <n v="1000"/>
    <n v="1350"/>
    <n v="-350"/>
  </r>
  <r>
    <x v="9"/>
    <x v="2"/>
    <n v="1040"/>
    <s v="Coleman"/>
    <s v="Joey Rayhoney"/>
    <s v="Individual"/>
    <n v="4"/>
    <n v="500"/>
    <n v="675"/>
    <n v="-175"/>
  </r>
  <r>
    <x v="9"/>
    <x v="3"/>
    <s v="Fidiciary"/>
    <s v="Coleman"/>
    <s v="Joey Rayhoney"/>
    <s v="Individual"/>
    <n v="2.4"/>
    <n v="300"/>
    <n v="297"/>
    <n v="3"/>
  </r>
  <r>
    <x v="9"/>
    <x v="3"/>
    <s v="Fidiciary"/>
    <s v="Coleman"/>
    <s v="Mars, Inc."/>
    <s v="Corporate"/>
    <n v="8.4"/>
    <n v="1050"/>
    <n v="1039.5"/>
    <n v="10.5"/>
  </r>
  <r>
    <x v="9"/>
    <x v="2"/>
    <n v="1120"/>
    <s v="Coleman"/>
    <s v="Mars, Inc."/>
    <s v="Corporate"/>
    <n v="19"/>
    <n v="2375"/>
    <n v="3206.25"/>
    <n v="-831.25"/>
  </r>
  <r>
    <x v="9"/>
    <x v="3"/>
    <n v="1120"/>
    <s v="Coleman"/>
    <s v="Plasma Medical"/>
    <s v="Corporate"/>
    <n v="3.7"/>
    <n v="462.5"/>
    <n v="457.875"/>
    <n v="4.625"/>
  </r>
  <r>
    <x v="10"/>
    <x v="3"/>
    <n v="1040"/>
    <s v="Coleman"/>
    <s v="Betty Harrington"/>
    <s v="Individual"/>
    <n v="17"/>
    <n v="1700"/>
    <n v="1683"/>
    <n v="17"/>
  </r>
  <r>
    <x v="10"/>
    <x v="2"/>
    <n v="1065"/>
    <s v="Coleman"/>
    <s v="Course Concrete"/>
    <s v="Corporate"/>
    <n v="19"/>
    <n v="1900"/>
    <n v="2565"/>
    <n v="-665"/>
  </r>
  <r>
    <x v="10"/>
    <x v="3"/>
    <n v="1040"/>
    <s v="Coleman"/>
    <s v="Molly Francis"/>
    <s v="Individual"/>
    <n v="5.5"/>
    <n v="550"/>
    <n v="544.5"/>
    <n v="5.5"/>
  </r>
  <r>
    <x v="11"/>
    <x v="2"/>
    <s v="Property Taxes"/>
    <s v="Coleman"/>
    <s v="Camera Shot"/>
    <s v="Corporate"/>
    <n v="3.7"/>
    <n v="277.5"/>
    <n v="374.625"/>
    <n v="-97.125"/>
  </r>
  <r>
    <x v="11"/>
    <x v="3"/>
    <n v="1120"/>
    <s v="Coleman"/>
    <s v="Camera Shot"/>
    <s v="Corporate"/>
    <n v="8.4"/>
    <n v="630"/>
    <n v="623.70000000000005"/>
    <n v="6.2999999999999545"/>
  </r>
  <r>
    <x v="11"/>
    <x v="2"/>
    <n v="1120"/>
    <s v="Coleman"/>
    <s v="Clothes Barn"/>
    <s v="Corporate"/>
    <n v="2.6"/>
    <n v="195"/>
    <n v="263.25"/>
    <n v="-68.25"/>
  </r>
  <r>
    <x v="11"/>
    <x v="3"/>
    <s v="Fidiciary"/>
    <s v="Coleman"/>
    <s v="Clothes Barn"/>
    <s v="Corporate"/>
    <n v="12.9"/>
    <n v="967.5"/>
    <n v="957.82500000000005"/>
    <n v="9.6749999999999545"/>
  </r>
  <r>
    <x v="11"/>
    <x v="3"/>
    <n v="1040"/>
    <s v="Coleman"/>
    <s v="Lisa Sullivan"/>
    <s v="Individual"/>
    <n v="10.199999999999999"/>
    <n v="765"/>
    <n v="757.35"/>
    <n v="7.6499999999999773"/>
  </r>
  <r>
    <x v="11"/>
    <x v="3"/>
    <n v="1120"/>
    <s v="Coleman"/>
    <s v="Sam's Services"/>
    <s v="Corporate"/>
    <n v="16"/>
    <n v="1200"/>
    <n v="1188"/>
    <n v="12"/>
  </r>
  <r>
    <x v="11"/>
    <x v="2"/>
    <n v="1040"/>
    <s v="Coleman"/>
    <s v="Tony Davis"/>
    <s v="Individual"/>
    <n v="9"/>
    <n v="675"/>
    <n v="911.25"/>
    <n v="-236.25"/>
  </r>
  <r>
    <x v="11"/>
    <x v="3"/>
    <n v="1040"/>
    <s v="Coleman"/>
    <s v="Tony Davis"/>
    <s v="Individual"/>
    <n v="2.9"/>
    <n v="217.5"/>
    <n v="215.32499999999999"/>
    <n v="2.1750000000000114"/>
  </r>
  <r>
    <x v="12"/>
    <x v="1"/>
    <n v="1065"/>
    <s v="Coleman"/>
    <s v="Clothes Barn"/>
    <s v="Corporate"/>
    <n v="2.9"/>
    <n v="217.5"/>
    <n v="243.6"/>
    <n v="-26.099999999999994"/>
  </r>
  <r>
    <x v="13"/>
    <x v="1"/>
    <n v="1040"/>
    <s v="Coleman"/>
    <s v="Boris Tellman"/>
    <s v="Individual"/>
    <n v="5.5"/>
    <n v="687.5"/>
    <n v="770"/>
    <n v="-82.5"/>
  </r>
  <r>
    <x v="13"/>
    <x v="0"/>
    <n v="1040"/>
    <s v="Coleman"/>
    <s v="Charlie Sullivan"/>
    <s v="Individual"/>
    <n v="8.4"/>
    <n v="1050"/>
    <n v="966"/>
    <n v="84"/>
  </r>
  <r>
    <x v="13"/>
    <x v="0"/>
    <n v="1120"/>
    <s v="Coleman"/>
    <s v="Door to Door, Inc."/>
    <s v="Corporate"/>
    <n v="32"/>
    <n v="4000"/>
    <n v="3680"/>
    <n v="320"/>
  </r>
  <r>
    <x v="13"/>
    <x v="1"/>
    <n v="1120"/>
    <s v="Coleman"/>
    <s v="Door to Door, Inc."/>
    <s v="Corporate"/>
    <n v="14"/>
    <n v="1750"/>
    <n v="1960"/>
    <n v="-210"/>
  </r>
  <r>
    <x v="13"/>
    <x v="1"/>
    <n v="1040"/>
    <s v="Coleman"/>
    <s v="Doug Thomas"/>
    <s v="Individual"/>
    <n v="6"/>
    <n v="750"/>
    <n v="840"/>
    <n v="-90"/>
  </r>
  <r>
    <x v="13"/>
    <x v="0"/>
    <n v="1040"/>
    <s v="Coleman"/>
    <s v="Doug Thomas"/>
    <s v="Individual"/>
    <n v="3.7"/>
    <n v="462.5"/>
    <n v="425.5"/>
    <n v="37"/>
  </r>
  <r>
    <x v="13"/>
    <x v="0"/>
    <n v="1120"/>
    <s v="Coleman"/>
    <s v="Granite Right"/>
    <s v="Corporate"/>
    <n v="17"/>
    <n v="2125"/>
    <n v="1955"/>
    <n v="170"/>
  </r>
  <r>
    <x v="13"/>
    <x v="1"/>
    <n v="1120"/>
    <s v="Coleman"/>
    <s v="Granite Right"/>
    <s v="Corporate"/>
    <n v="4"/>
    <n v="500"/>
    <n v="560"/>
    <n v="-60"/>
  </r>
  <r>
    <x v="13"/>
    <x v="1"/>
    <n v="1040"/>
    <s v="Coleman"/>
    <s v="Joey Rayhoney"/>
    <s v="Individual"/>
    <n v="6"/>
    <n v="750"/>
    <n v="840"/>
    <n v="-90"/>
  </r>
  <r>
    <x v="13"/>
    <x v="0"/>
    <n v="1120"/>
    <s v="Coleman"/>
    <s v="Mars, Inc."/>
    <s v="Corporate"/>
    <n v="10.199999999999999"/>
    <n v="1275"/>
    <n v="1173"/>
    <n v="102"/>
  </r>
  <r>
    <x v="13"/>
    <x v="1"/>
    <s v="Financial Planning"/>
    <s v="Coleman"/>
    <s v="Plasma Medical"/>
    <s v="Corporate"/>
    <n v="4.5"/>
    <n v="562.5"/>
    <n v="630"/>
    <n v="-67.5"/>
  </r>
  <r>
    <x v="13"/>
    <x v="0"/>
    <n v="1120"/>
    <s v="Coleman"/>
    <s v="Plasma Medical"/>
    <s v="Corporate"/>
    <n v="2"/>
    <n v="250"/>
    <n v="230"/>
    <n v="20"/>
  </r>
  <r>
    <x v="14"/>
    <x v="2"/>
    <n v="1040"/>
    <s v="Coleman"/>
    <s v="Mindy Simmon"/>
    <s v="Individual"/>
    <n v="22"/>
    <n v="2200"/>
    <n v="2970"/>
    <n v="-770"/>
  </r>
  <r>
    <x v="14"/>
    <x v="3"/>
    <n v="1040"/>
    <s v="Coleman"/>
    <s v="Tommy Pruitt"/>
    <s v="Individual"/>
    <n v="4"/>
    <n v="400"/>
    <n v="396"/>
    <n v="4"/>
  </r>
  <r>
    <x v="1"/>
    <x v="0"/>
    <n v="1040"/>
    <s v="Johnson"/>
    <s v="Pam Duncan"/>
    <s v="Individual"/>
    <n v="6"/>
    <n v="450"/>
    <n v="414"/>
    <n v="36"/>
  </r>
  <r>
    <x v="1"/>
    <x v="1"/>
    <n v="1040"/>
    <s v="Johnson"/>
    <s v="Peter Hanson"/>
    <s v="Individual"/>
    <n v="5"/>
    <n v="375"/>
    <n v="420"/>
    <n v="-45"/>
  </r>
  <r>
    <x v="1"/>
    <x v="0"/>
    <n v="1120"/>
    <s v="Johnson"/>
    <s v="Simpson"/>
    <s v="Corporate"/>
    <n v="17"/>
    <n v="1275"/>
    <n v="1173"/>
    <n v="102"/>
  </r>
  <r>
    <x v="2"/>
    <x v="2"/>
    <n v="1120"/>
    <s v="Johnson"/>
    <s v="Catcher's Creamery"/>
    <s v="Corporate"/>
    <n v="2.6"/>
    <n v="260"/>
    <n v="351"/>
    <n v="-91"/>
  </r>
  <r>
    <x v="2"/>
    <x v="3"/>
    <n v="1120"/>
    <s v="Johnson"/>
    <s v="Fancy Daze"/>
    <s v="Corporate"/>
    <n v="6"/>
    <n v="600"/>
    <n v="594"/>
    <n v="6"/>
  </r>
  <r>
    <x v="3"/>
    <x v="1"/>
    <n v="1040"/>
    <s v="Johnson"/>
    <s v="Pam Duncan"/>
    <s v="Individual"/>
    <n v="3.5"/>
    <n v="262.5"/>
    <n v="294"/>
    <n v="-31.5"/>
  </r>
  <r>
    <x v="4"/>
    <x v="0"/>
    <s v="Financial Planning"/>
    <s v="Johnson"/>
    <s v="Beverly Crusher"/>
    <s v="Individual"/>
    <n v="5"/>
    <n v="500"/>
    <n v="460"/>
    <n v="40"/>
  </r>
  <r>
    <x v="4"/>
    <x v="1"/>
    <s v="Fidiciary"/>
    <s v="Johnson"/>
    <s v="Books O'Toole"/>
    <s v="Corporate"/>
    <n v="4"/>
    <n v="400"/>
    <n v="448"/>
    <n v="-48"/>
  </r>
  <r>
    <x v="4"/>
    <x v="0"/>
    <n v="1120"/>
    <s v="Johnson"/>
    <s v="Books O'Toole"/>
    <s v="Corporate"/>
    <n v="2.4"/>
    <n v="240"/>
    <n v="220.8"/>
    <n v="19.199999999999989"/>
  </r>
  <r>
    <x v="4"/>
    <x v="0"/>
    <n v="1065"/>
    <s v="Johnson"/>
    <s v="Cascade, Inc."/>
    <s v="Corporate"/>
    <n v="4.5"/>
    <n v="450"/>
    <n v="414"/>
    <n v="36"/>
  </r>
  <r>
    <x v="4"/>
    <x v="0"/>
    <n v="1120"/>
    <s v="Johnson"/>
    <s v="Catcher's Creamery"/>
    <s v="Corporate"/>
    <n v="9"/>
    <n v="900"/>
    <n v="828"/>
    <n v="72"/>
  </r>
  <r>
    <x v="4"/>
    <x v="0"/>
    <n v="1040"/>
    <s v="Johnson"/>
    <s v="David Pollack"/>
    <s v="Individual"/>
    <n v="2.6"/>
    <n v="260"/>
    <n v="239.2"/>
    <n v="20.800000000000011"/>
  </r>
  <r>
    <x v="4"/>
    <x v="1"/>
    <s v="Financial Planning"/>
    <s v="Johnson"/>
    <s v="David Pollack"/>
    <s v="Individual"/>
    <n v="12.9"/>
    <n v="1290"/>
    <n v="1444.8"/>
    <n v="-154.79999999999995"/>
  </r>
  <r>
    <x v="4"/>
    <x v="1"/>
    <n v="1120"/>
    <s v="Johnson"/>
    <s v="Fancy Daze"/>
    <s v="Corporate"/>
    <n v="14"/>
    <n v="1400"/>
    <n v="1568"/>
    <n v="-168"/>
  </r>
  <r>
    <x v="4"/>
    <x v="0"/>
    <n v="1120"/>
    <s v="Johnson"/>
    <s v="Fancy Daze"/>
    <s v="Corporate"/>
    <n v="5.5"/>
    <n v="550"/>
    <n v="506"/>
    <n v="44"/>
  </r>
  <r>
    <x v="4"/>
    <x v="1"/>
    <n v="1120"/>
    <s v="Johnson"/>
    <s v="Superior Pans"/>
    <s v="Corporate"/>
    <n v="32"/>
    <n v="3200"/>
    <n v="3584"/>
    <n v="-384"/>
  </r>
  <r>
    <x v="6"/>
    <x v="3"/>
    <n v="1040"/>
    <s v="Johnson"/>
    <s v="Beverly Crusher"/>
    <s v="Individual"/>
    <n v="2.4"/>
    <n v="240"/>
    <n v="237.6"/>
    <n v="2.4000000000000057"/>
  </r>
  <r>
    <x v="6"/>
    <x v="3"/>
    <n v="1120"/>
    <s v="Johnson"/>
    <s v="Superior Pans"/>
    <s v="Corporate"/>
    <n v="12"/>
    <n v="1200"/>
    <n v="1188"/>
    <n v="12"/>
  </r>
  <r>
    <x v="7"/>
    <x v="3"/>
    <s v="Financial Planning"/>
    <s v="Johnson"/>
    <s v="Books O'Toole"/>
    <s v="Corporate"/>
    <n v="6"/>
    <n v="600"/>
    <n v="594"/>
    <n v="6"/>
  </r>
  <r>
    <x v="7"/>
    <x v="2"/>
    <n v="1120"/>
    <s v="Johnson"/>
    <s v="Cascade, Inc."/>
    <s v="Corporate"/>
    <n v="3.7"/>
    <n v="370"/>
    <n v="499.5"/>
    <n v="-129.5"/>
  </r>
  <r>
    <x v="7"/>
    <x v="2"/>
    <n v="1065"/>
    <s v="Johnson"/>
    <s v="Superior Pans"/>
    <s v="Corporate"/>
    <n v="16"/>
    <n v="1600"/>
    <n v="2160"/>
    <n v="-560"/>
  </r>
  <r>
    <x v="15"/>
    <x v="2"/>
    <n v="1040"/>
    <s v="Johnson"/>
    <s v="Beverly Crusher"/>
    <s v="Individual"/>
    <n v="9"/>
    <n v="900"/>
    <n v="1215"/>
    <n v="-315"/>
  </r>
  <r>
    <x v="15"/>
    <x v="3"/>
    <n v="1120"/>
    <s v="Johnson"/>
    <s v="Catcher's Creamery"/>
    <s v="Corporate"/>
    <n v="5"/>
    <n v="500"/>
    <n v="495"/>
    <n v="5"/>
  </r>
  <r>
    <x v="9"/>
    <x v="2"/>
    <n v="1120"/>
    <s v="Johnson"/>
    <s v="Bessy Boats"/>
    <s v="Corporate"/>
    <n v="6"/>
    <n v="750"/>
    <n v="1012.5"/>
    <n v="-262.5"/>
  </r>
  <r>
    <x v="9"/>
    <x v="3"/>
    <s v="Financial Planning"/>
    <s v="Johnson"/>
    <s v="Bessy Boats"/>
    <s v="Corporate"/>
    <n v="5"/>
    <n v="625"/>
    <n v="618.75"/>
    <n v="6.25"/>
  </r>
  <r>
    <x v="9"/>
    <x v="2"/>
    <n v="1040"/>
    <s v="Johnson"/>
    <s v="Debbie Mavormat"/>
    <s v="Individual"/>
    <n v="17"/>
    <n v="2125"/>
    <n v="2868.75"/>
    <n v="-743.75"/>
  </r>
  <r>
    <x v="9"/>
    <x v="3"/>
    <n v="1120"/>
    <s v="Johnson"/>
    <s v="Harold Mason, Inc."/>
    <s v="Corporate"/>
    <n v="12.9"/>
    <n v="1612.5"/>
    <n v="1596.375"/>
    <n v="16.125"/>
  </r>
  <r>
    <x v="9"/>
    <x v="2"/>
    <n v="1120"/>
    <s v="Johnson"/>
    <s v="Harold Mason, Inc."/>
    <s v="Corporate"/>
    <n v="16"/>
    <n v="2000"/>
    <n v="2700"/>
    <n v="-700"/>
  </r>
  <r>
    <x v="9"/>
    <x v="2"/>
    <n v="1040"/>
    <s v="Johnson"/>
    <s v="Janet Miller"/>
    <s v="Individual"/>
    <n v="14"/>
    <n v="1750"/>
    <n v="2362.5"/>
    <n v="-612.5"/>
  </r>
  <r>
    <x v="9"/>
    <x v="3"/>
    <n v="1040"/>
    <s v="Johnson"/>
    <s v="Janet Miller"/>
    <s v="Individual"/>
    <n v="5.5"/>
    <n v="687.5"/>
    <n v="680.625"/>
    <n v="6.875"/>
  </r>
  <r>
    <x v="10"/>
    <x v="2"/>
    <n v="1040"/>
    <s v="Johnson"/>
    <s v="David Pollack"/>
    <s v="Individual"/>
    <n v="2.9"/>
    <n v="290"/>
    <n v="391.5"/>
    <n v="-101.5"/>
  </r>
  <r>
    <x v="11"/>
    <x v="2"/>
    <s v="Financial Planning"/>
    <s v="Johnson"/>
    <s v="Pam Duncan"/>
    <s v="Individual"/>
    <n v="5.5"/>
    <n v="412.5"/>
    <n v="556.875"/>
    <n v="-144.375"/>
  </r>
  <r>
    <x v="11"/>
    <x v="2"/>
    <n v="1040"/>
    <s v="Johnson"/>
    <s v="Peter Hanson"/>
    <s v="Individual"/>
    <n v="2.4"/>
    <n v="180"/>
    <n v="243"/>
    <n v="-63"/>
  </r>
  <r>
    <x v="11"/>
    <x v="3"/>
    <n v="1120"/>
    <s v="Johnson"/>
    <s v="Simpson"/>
    <s v="Corporate"/>
    <n v="19"/>
    <n v="1425"/>
    <n v="1410.75"/>
    <n v="14.25"/>
  </r>
  <r>
    <x v="12"/>
    <x v="0"/>
    <n v="1040"/>
    <s v="Johnson"/>
    <s v="Peter Hanson"/>
    <s v="Individual"/>
    <n v="6"/>
    <n v="450"/>
    <n v="414"/>
    <n v="36"/>
  </r>
  <r>
    <x v="12"/>
    <x v="1"/>
    <n v="1120"/>
    <s v="Johnson"/>
    <s v="Simpson"/>
    <s v="Corporate"/>
    <n v="10.199999999999999"/>
    <n v="765"/>
    <n v="856.8"/>
    <n v="-91.799999999999955"/>
  </r>
  <r>
    <x v="13"/>
    <x v="2"/>
    <n v="1120"/>
    <s v="Johnson"/>
    <s v="Bessy Boats"/>
    <s v="Corporate"/>
    <n v="2.4"/>
    <n v="300"/>
    <n v="336"/>
    <n v="-36"/>
  </r>
  <r>
    <x v="13"/>
    <x v="0"/>
    <n v="1040"/>
    <s v="Johnson"/>
    <s v="Debbie Mavormat"/>
    <s v="Individual"/>
    <n v="19"/>
    <n v="2375"/>
    <n v="2185"/>
    <n v="190"/>
  </r>
  <r>
    <x v="13"/>
    <x v="1"/>
    <n v="1040"/>
    <s v="Johnson"/>
    <s v="Debbie Mavormat"/>
    <s v="Individual"/>
    <n v="8"/>
    <n v="1000"/>
    <n v="1120"/>
    <n v="-120"/>
  </r>
  <r>
    <x v="13"/>
    <x v="0"/>
    <n v="1065"/>
    <s v="Johnson"/>
    <s v="Harold Mason, Inc."/>
    <s v="Corporate"/>
    <n v="22"/>
    <n v="2750"/>
    <n v="2530"/>
    <n v="220"/>
  </r>
  <r>
    <x v="13"/>
    <x v="1"/>
    <n v="1040"/>
    <s v="Johnson"/>
    <s v="Janet Miller"/>
    <s v="Individual"/>
    <n v="6"/>
    <n v="750"/>
    <n v="840"/>
    <n v="-90"/>
  </r>
  <r>
    <x v="14"/>
    <x v="3"/>
    <n v="1120"/>
    <s v="Johnson"/>
    <s v="Cascade, Inc."/>
    <s v="Corporate"/>
    <n v="6"/>
    <n v="600"/>
    <n v="594"/>
    <n v="6"/>
  </r>
  <r>
    <x v="0"/>
    <x v="0"/>
    <n v="1065"/>
    <s v="Smith"/>
    <s v="Biss Foods"/>
    <s v="Corporate"/>
    <n v="2.4"/>
    <n v="180"/>
    <n v="165.6"/>
    <n v="14.400000000000006"/>
  </r>
  <r>
    <x v="0"/>
    <x v="1"/>
    <n v="1040"/>
    <s v="Smith"/>
    <s v="Lars Tate"/>
    <s v="Individual"/>
    <n v="12.9"/>
    <n v="967.5"/>
    <n v="1083.5999999999999"/>
    <n v="-116.09999999999991"/>
  </r>
  <r>
    <x v="0"/>
    <x v="0"/>
    <s v="Fidiciary"/>
    <s v="Smith"/>
    <s v="The News Place"/>
    <s v="Corporate"/>
    <n v="14"/>
    <n v="1050"/>
    <n v="966"/>
    <n v="84"/>
  </r>
  <r>
    <x v="0"/>
    <x v="1"/>
    <n v="1120"/>
    <s v="Smith"/>
    <s v="Tulip Bowls, Ltd"/>
    <s v="Corporate"/>
    <n v="4.5"/>
    <n v="337.5"/>
    <n v="378"/>
    <n v="-40.5"/>
  </r>
  <r>
    <x v="1"/>
    <x v="1"/>
    <n v="1040"/>
    <s v="Smith"/>
    <s v="Mike Thomas"/>
    <s v="Individual"/>
    <n v="3.7"/>
    <n v="277.5"/>
    <n v="310.8"/>
    <n v="-33.300000000000011"/>
  </r>
  <r>
    <x v="3"/>
    <x v="0"/>
    <n v="1120"/>
    <s v="Smith"/>
    <s v="Granola Bob"/>
    <s v="Corporate"/>
    <n v="4"/>
    <n v="300"/>
    <n v="276"/>
    <n v="24"/>
  </r>
  <r>
    <x v="3"/>
    <x v="0"/>
    <n v="1040"/>
    <s v="Smith"/>
    <s v="Tulip Bowls, Ltd"/>
    <s v="Corporate"/>
    <n v="3.5"/>
    <n v="262.5"/>
    <n v="241.5"/>
    <n v="21"/>
  </r>
  <r>
    <x v="4"/>
    <x v="0"/>
    <n v="1040"/>
    <s v="Smith"/>
    <s v="Gay Gray"/>
    <s v="Individual"/>
    <n v="6"/>
    <n v="600"/>
    <n v="552"/>
    <n v="48"/>
  </r>
  <r>
    <x v="4"/>
    <x v="0"/>
    <n v="1065"/>
    <s v="Smith"/>
    <s v="Hayes Automotive"/>
    <s v="Corporate"/>
    <n v="2"/>
    <n v="200"/>
    <n v="184"/>
    <n v="16"/>
  </r>
  <r>
    <x v="4"/>
    <x v="1"/>
    <n v="1120"/>
    <s v="Smith"/>
    <s v="Hayes Automotive"/>
    <s v="Corporate"/>
    <n v="10.199999999999999"/>
    <n v="1020"/>
    <n v="1142.4000000000001"/>
    <n v="-122.40000000000009"/>
  </r>
  <r>
    <x v="4"/>
    <x v="0"/>
    <s v="Financial Planning"/>
    <s v="Smith"/>
    <s v="Kim's Couches"/>
    <s v="Corporate"/>
    <n v="2.9"/>
    <n v="290"/>
    <n v="266.8"/>
    <n v="23.199999999999989"/>
  </r>
  <r>
    <x v="4"/>
    <x v="1"/>
    <n v="1120"/>
    <s v="Smith"/>
    <s v="Kim's Couches"/>
    <s v="Corporate"/>
    <n v="22"/>
    <n v="2200"/>
    <n v="2464"/>
    <n v="-264"/>
  </r>
  <r>
    <x v="4"/>
    <x v="1"/>
    <s v="Financial Planning"/>
    <s v="Smith"/>
    <s v="Terry Parker"/>
    <s v="Individual"/>
    <n v="12"/>
    <n v="1200"/>
    <n v="1344"/>
    <n v="-144"/>
  </r>
  <r>
    <x v="4"/>
    <x v="0"/>
    <s v="Fidiciary"/>
    <s v="Smith"/>
    <s v="Terry Parker"/>
    <s v="Individual"/>
    <n v="6"/>
    <n v="600"/>
    <n v="552"/>
    <n v="48"/>
  </r>
  <r>
    <x v="5"/>
    <x v="1"/>
    <n v="1065"/>
    <s v="Smith"/>
    <s v="Biss Foods"/>
    <s v="Corporate"/>
    <n v="9"/>
    <n v="675"/>
    <n v="756"/>
    <n v="-81"/>
  </r>
  <r>
    <x v="5"/>
    <x v="0"/>
    <n v="1040"/>
    <s v="Smith"/>
    <s v="Lars Tate"/>
    <s v="Individual"/>
    <n v="16"/>
    <n v="1200"/>
    <n v="1104"/>
    <n v="96"/>
  </r>
  <r>
    <x v="5"/>
    <x v="0"/>
    <n v="1040"/>
    <s v="Smith"/>
    <s v="Nancy Young"/>
    <s v="Individual"/>
    <n v="5.5"/>
    <n v="412.5"/>
    <n v="379.5"/>
    <n v="33"/>
  </r>
  <r>
    <x v="5"/>
    <x v="0"/>
    <n v="1040"/>
    <s v="Smith"/>
    <s v="Scott Slade"/>
    <s v="Individual"/>
    <n v="8"/>
    <n v="600"/>
    <n v="552"/>
    <n v="48"/>
  </r>
  <r>
    <x v="15"/>
    <x v="2"/>
    <n v="1120"/>
    <s v="Smith"/>
    <s v="Hayes Automotive"/>
    <s v="Corporate"/>
    <n v="8.4"/>
    <n v="840"/>
    <n v="1134"/>
    <n v="-294"/>
  </r>
  <r>
    <x v="15"/>
    <x v="3"/>
    <s v="Fidiciary"/>
    <s v="Smith"/>
    <s v="Terry Parker"/>
    <s v="Individual"/>
    <n v="14"/>
    <n v="1400"/>
    <n v="1386"/>
    <n v="14"/>
  </r>
  <r>
    <x v="8"/>
    <x v="3"/>
    <n v="1065"/>
    <s v="Smith"/>
    <s v="Gay Gray"/>
    <s v="Individual"/>
    <n v="3.5"/>
    <n v="350"/>
    <n v="346.5"/>
    <n v="3.5"/>
  </r>
  <r>
    <x v="8"/>
    <x v="2"/>
    <n v="1120"/>
    <s v="Smith"/>
    <s v="Kim's Couches"/>
    <s v="Corporate"/>
    <n v="12.9"/>
    <n v="1290"/>
    <n v="1741.5"/>
    <n v="-451.5"/>
  </r>
  <r>
    <x v="9"/>
    <x v="2"/>
    <n v="1065"/>
    <s v="Smith"/>
    <s v="Cindy Schrieber"/>
    <s v="Individual"/>
    <n v="32"/>
    <n v="4000"/>
    <n v="5400"/>
    <n v="-1400"/>
  </r>
  <r>
    <x v="9"/>
    <x v="3"/>
    <n v="1040"/>
    <s v="Smith"/>
    <s v="Corneilia Ham"/>
    <s v="Individual"/>
    <n v="6"/>
    <n v="750"/>
    <n v="742.5"/>
    <n v="7.5"/>
  </r>
  <r>
    <x v="9"/>
    <x v="3"/>
    <n v="1040"/>
    <s v="Smith"/>
    <s v="David Greene"/>
    <s v="Individual"/>
    <n v="2.9"/>
    <n v="362.5"/>
    <n v="358.875"/>
    <n v="3.625"/>
  </r>
  <r>
    <x v="9"/>
    <x v="2"/>
    <n v="1040"/>
    <s v="Smith"/>
    <s v="David Greene"/>
    <s v="Individual"/>
    <n v="22"/>
    <n v="2750"/>
    <n v="3712.5"/>
    <n v="-962.5"/>
  </r>
  <r>
    <x v="9"/>
    <x v="3"/>
    <n v="1120"/>
    <s v="Smith"/>
    <s v="Hanson Fish Sales"/>
    <s v="Corporate"/>
    <n v="2.6"/>
    <n v="325"/>
    <n v="321.75"/>
    <n v="3.25"/>
  </r>
  <r>
    <x v="9"/>
    <x v="3"/>
    <n v="1040"/>
    <s v="Smith"/>
    <s v="Willie McClendon"/>
    <s v="Individual"/>
    <n v="9"/>
    <n v="1125"/>
    <n v="1113.75"/>
    <n v="11.25"/>
  </r>
  <r>
    <x v="11"/>
    <x v="2"/>
    <n v="1065"/>
    <s v="Smith"/>
    <s v="Biss Foods"/>
    <s v="Corporate"/>
    <n v="5"/>
    <n v="375"/>
    <n v="506.25"/>
    <n v="-131.25"/>
  </r>
  <r>
    <x v="11"/>
    <x v="3"/>
    <n v="1120"/>
    <s v="Smith"/>
    <s v="Granola Bob"/>
    <s v="Corporate"/>
    <n v="8"/>
    <n v="600"/>
    <n v="594"/>
    <n v="6"/>
  </r>
  <r>
    <x v="11"/>
    <x v="2"/>
    <n v="1120"/>
    <s v="Smith"/>
    <s v="Granola Bob"/>
    <s v="Corporate"/>
    <n v="6"/>
    <n v="450"/>
    <n v="607.5"/>
    <n v="-157.5"/>
  </r>
  <r>
    <x v="11"/>
    <x v="3"/>
    <n v="1040"/>
    <s v="Smith"/>
    <s v="Kathy Hankins"/>
    <s v="Individual"/>
    <n v="32"/>
    <n v="2400"/>
    <n v="2376"/>
    <n v="24"/>
  </r>
  <r>
    <x v="11"/>
    <x v="2"/>
    <s v="Financial Planning"/>
    <s v="Smith"/>
    <s v="Kathy Hankins"/>
    <s v="Individual"/>
    <n v="14"/>
    <n v="1050"/>
    <n v="1417.5"/>
    <n v="-367.5"/>
  </r>
  <r>
    <x v="11"/>
    <x v="3"/>
    <n v="1040"/>
    <s v="Smith"/>
    <s v="Lars Tate"/>
    <s v="Individual"/>
    <n v="22"/>
    <n v="1650"/>
    <n v="1633.5"/>
    <n v="16.5"/>
  </r>
  <r>
    <x v="11"/>
    <x v="2"/>
    <n v="1040"/>
    <s v="Smith"/>
    <s v="Mike Thomas"/>
    <s v="Individual"/>
    <n v="4.5"/>
    <n v="337.5"/>
    <n v="455.625"/>
    <n v="-118.125"/>
  </r>
  <r>
    <x v="11"/>
    <x v="3"/>
    <n v="1040"/>
    <s v="Smith"/>
    <s v="Mike Thomas"/>
    <s v="Individual"/>
    <n v="2"/>
    <n v="150"/>
    <n v="148.5"/>
    <n v="1.5"/>
  </r>
  <r>
    <x v="11"/>
    <x v="2"/>
    <s v="Financial Planning"/>
    <s v="Smith"/>
    <s v="Nancy Young"/>
    <s v="Individual"/>
    <n v="3.5"/>
    <n v="262.5"/>
    <n v="354.375"/>
    <n v="-91.875"/>
  </r>
  <r>
    <x v="11"/>
    <x v="3"/>
    <n v="1040"/>
    <s v="Smith"/>
    <s v="Scott Slade"/>
    <s v="Individual"/>
    <n v="17"/>
    <n v="1275"/>
    <n v="1262.25"/>
    <n v="12.75"/>
  </r>
  <r>
    <x v="11"/>
    <x v="2"/>
    <n v="1040"/>
    <s v="Smith"/>
    <s v="Scott Slade"/>
    <s v="Individual"/>
    <n v="4"/>
    <n v="300"/>
    <n v="405"/>
    <n v="-105"/>
  </r>
  <r>
    <x v="11"/>
    <x v="3"/>
    <n v="1065"/>
    <s v="Smith"/>
    <s v="The News Place"/>
    <s v="Corporate"/>
    <n v="12"/>
    <n v="900"/>
    <n v="891"/>
    <n v="9"/>
  </r>
  <r>
    <x v="11"/>
    <x v="2"/>
    <n v="1120"/>
    <s v="Smith"/>
    <s v="The News Place"/>
    <s v="Corporate"/>
    <n v="6"/>
    <n v="450"/>
    <n v="607.5"/>
    <n v="-157.5"/>
  </r>
  <r>
    <x v="11"/>
    <x v="2"/>
    <n v="1120"/>
    <s v="Smith"/>
    <s v="Tulip Bowls, Ltd"/>
    <s v="Corporate"/>
    <n v="6"/>
    <n v="450"/>
    <n v="607.5"/>
    <n v="-157.5"/>
  </r>
  <r>
    <x v="12"/>
    <x v="0"/>
    <n v="1040"/>
    <s v="Smith"/>
    <s v="Kathy Hankins"/>
    <s v="Individual"/>
    <n v="12"/>
    <n v="900"/>
    <n v="828"/>
    <n v="72"/>
  </r>
  <r>
    <x v="12"/>
    <x v="1"/>
    <s v="Financial Planning"/>
    <s v="Smith"/>
    <s v="Nancy Young"/>
    <s v="Individual"/>
    <n v="6"/>
    <n v="450"/>
    <n v="504"/>
    <n v="-54"/>
  </r>
  <r>
    <x v="13"/>
    <x v="0"/>
    <n v="1040"/>
    <s v="Smith"/>
    <s v="Cindy Schrieber"/>
    <s v="Individual"/>
    <n v="16"/>
    <n v="2000"/>
    <n v="1840"/>
    <n v="160"/>
  </r>
  <r>
    <x v="13"/>
    <x v="1"/>
    <n v="1040"/>
    <s v="Smith"/>
    <s v="Cindy Schrieber"/>
    <s v="Individual"/>
    <n v="12"/>
    <n v="1500"/>
    <n v="1680"/>
    <n v="-180"/>
  </r>
  <r>
    <x v="13"/>
    <x v="1"/>
    <s v="Fidiciary"/>
    <s v="Smith"/>
    <s v="Corneilia Ham"/>
    <s v="Individual"/>
    <n v="3.5"/>
    <n v="437.5"/>
    <n v="490"/>
    <n v="-52.5"/>
  </r>
  <r>
    <x v="13"/>
    <x v="0"/>
    <n v="1040"/>
    <s v="Smith"/>
    <s v="Corneilia Ham"/>
    <s v="Individual"/>
    <n v="4.5"/>
    <n v="562.5"/>
    <n v="517.5"/>
    <n v="45"/>
  </r>
  <r>
    <x v="13"/>
    <x v="0"/>
    <n v="1040"/>
    <s v="Smith"/>
    <s v="David Greene"/>
    <s v="Individual"/>
    <n v="12.9"/>
    <n v="1612.5"/>
    <n v="1483.5"/>
    <n v="129"/>
  </r>
  <r>
    <x v="13"/>
    <x v="1"/>
    <n v="1120"/>
    <s v="Smith"/>
    <s v="Hanson Fish Sales"/>
    <s v="Corporate"/>
    <n v="9"/>
    <n v="1125"/>
    <n v="1260"/>
    <n v="-135"/>
  </r>
  <r>
    <x v="13"/>
    <x v="0"/>
    <n v="1120"/>
    <s v="Smith"/>
    <s v="Hanson Fish Sales"/>
    <s v="Corporate"/>
    <n v="2.9"/>
    <n v="362.5"/>
    <n v="333.5"/>
    <n v="29"/>
  </r>
  <r>
    <x v="13"/>
    <x v="1"/>
    <n v="1040"/>
    <s v="Smith"/>
    <s v="Willie McClendon"/>
    <s v="Individual"/>
    <n v="5"/>
    <n v="625"/>
    <n v="700"/>
    <n v="-75"/>
  </r>
  <r>
    <x v="13"/>
    <x v="0"/>
    <n v="1040"/>
    <s v="Smith"/>
    <s v="Willie McClendon"/>
    <s v="Individual"/>
    <n v="2.6"/>
    <n v="325"/>
    <n v="299"/>
    <n v="26"/>
  </r>
  <r>
    <x v="14"/>
    <x v="2"/>
    <n v="1040"/>
    <s v="Smith"/>
    <s v="Gay Gray"/>
    <s v="Individual"/>
    <n v="4.5"/>
    <n v="450"/>
    <n v="607.5"/>
    <n v="-15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4:F22" firstHeaderRow="1" firstDataRow="2" firstDataCol="1"/>
  <pivotFields count="10">
    <pivotField axis="axisRow" showAll="0">
      <items count="17">
        <item x="0"/>
        <item x="1"/>
        <item x="2"/>
        <item x="3"/>
        <item n="Jessica" x="4"/>
        <item x="5"/>
        <item x="6"/>
        <item x="7"/>
        <item x="15"/>
        <item x="8"/>
        <item x="9"/>
        <item x="10"/>
        <item x="11"/>
        <item x="12"/>
        <item x="13"/>
        <item x="14"/>
        <item t="default"/>
      </items>
    </pivotField>
    <pivotField axis="axisCol" showAll="0">
      <items count="5">
        <item x="0"/>
        <item x="3"/>
        <item x="1"/>
        <item x="2"/>
        <item t="default"/>
      </items>
    </pivotField>
    <pivotField showAll="0"/>
    <pivotField showAll="0"/>
    <pivotField showAll="0"/>
    <pivotField showAll="0"/>
    <pivotField numFmtId="168" showAll="0"/>
    <pivotField dataField="1" numFmtId="164" showAll="0"/>
    <pivotField numFmtId="164" showAll="0"/>
    <pivotField numFmtId="164" showAll="0"/>
  </pivotFields>
  <rowFields count="1">
    <field x="0"/>
  </rowFields>
  <rowItems count="17">
    <i>
      <x/>
    </i>
    <i>
      <x v="1"/>
    </i>
    <i>
      <x v="2"/>
    </i>
    <i>
      <x v="3"/>
    </i>
    <i>
      <x v="4"/>
    </i>
    <i>
      <x v="5"/>
    </i>
    <i>
      <x v="6"/>
    </i>
    <i>
      <x v="7"/>
    </i>
    <i>
      <x v="8"/>
    </i>
    <i>
      <x v="9"/>
    </i>
    <i>
      <x v="10"/>
    </i>
    <i>
      <x v="11"/>
    </i>
    <i>
      <x v="12"/>
    </i>
    <i>
      <x v="13"/>
    </i>
    <i>
      <x v="14"/>
    </i>
    <i>
      <x v="15"/>
    </i>
    <i t="grand">
      <x/>
    </i>
  </rowItems>
  <colFields count="1">
    <field x="1"/>
  </colFields>
  <colItems count="5">
    <i>
      <x/>
    </i>
    <i>
      <x v="1"/>
    </i>
    <i>
      <x v="2"/>
    </i>
    <i>
      <x v="3"/>
    </i>
    <i t="grand">
      <x/>
    </i>
  </colItems>
  <dataFields count="1">
    <dataField name="Sum of Billings" fld="7" baseField="0" baseItem="0" numFmtId="164"/>
  </dataFields>
  <formats count="1">
    <format dxfId="4">
      <pivotArea outline="0" collapsedLevelsAreSubtotals="1"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9.xml.rels><?xml version="1.0" encoding="UTF-8" standalone="yes"?>
<Relationships xmlns="http://schemas.openxmlformats.org/package/2006/relationships"><Relationship Id="rId13" Type="http://schemas.openxmlformats.org/officeDocument/2006/relationships/hyperlink" Target="javascript:go('/search/redir.aspx?AssetID=HP052090731033&amp;CTT=5&amp;Origin=HP052042111033')" TargetMode="External"/><Relationship Id="rId18" Type="http://schemas.openxmlformats.org/officeDocument/2006/relationships/hyperlink" Target="javascript:go('/search/redir.aspx?AssetID=HP052093361033&amp;CTT=5&amp;Origin=HP052042111033')" TargetMode="External"/><Relationship Id="rId26" Type="http://schemas.openxmlformats.org/officeDocument/2006/relationships/hyperlink" Target="javascript:go('/search/redir.aspx?AssetID=HP052092251033&amp;CTT=5&amp;Origin=HP052042111033')" TargetMode="External"/><Relationship Id="rId39" Type="http://schemas.openxmlformats.org/officeDocument/2006/relationships/hyperlink" Target="javascript:go('/search/redir.aspx?AssetID=HP052089861033&amp;CTT=5&amp;Origin=HP052042111033')" TargetMode="External"/><Relationship Id="rId21" Type="http://schemas.openxmlformats.org/officeDocument/2006/relationships/hyperlink" Target="javascript:go('/search/redir.aspx?AssetID=HP052093431033&amp;CTT=5&amp;Origin=HP052042111033')" TargetMode="External"/><Relationship Id="rId34" Type="http://schemas.openxmlformats.org/officeDocument/2006/relationships/hyperlink" Target="javascript:go('/search/redir.aspx?AssetID=HP052091471033&amp;CTT=5&amp;Origin=HP052042111033')" TargetMode="External"/><Relationship Id="rId42" Type="http://schemas.openxmlformats.org/officeDocument/2006/relationships/hyperlink" Target="javascript:go('/search/redir.aspx?AssetID=HP052091961033&amp;CTT=5&amp;Origin=HP052042111033')" TargetMode="External"/><Relationship Id="rId47" Type="http://schemas.openxmlformats.org/officeDocument/2006/relationships/hyperlink" Target="javascript:go('/search/redir.aspx?AssetID=HP052091141033&amp;CTT=5&amp;Origin=HP052042111033')" TargetMode="External"/><Relationship Id="rId50" Type="http://schemas.openxmlformats.org/officeDocument/2006/relationships/hyperlink" Target="javascript:go('/search/redir.aspx?AssetID=HP052091631033&amp;CTT=5&amp;Origin=HP052042111033')" TargetMode="External"/><Relationship Id="rId55" Type="http://schemas.openxmlformats.org/officeDocument/2006/relationships/hyperlink" Target="javascript:go('/search/redir.aspx?AssetID=HP052092391033&amp;CTT=5&amp;Origin=HP052042111033')" TargetMode="External"/><Relationship Id="rId63" Type="http://schemas.openxmlformats.org/officeDocument/2006/relationships/hyperlink" Target="javascript:go('/search/redir.aspx?AssetID=HP052090261033&amp;CTT=5&amp;Origin=HP052042111033')" TargetMode="External"/><Relationship Id="rId68" Type="http://schemas.openxmlformats.org/officeDocument/2006/relationships/hyperlink" Target="javascript:go('/search/redir.aspx?AssetID=HP052091761033&amp;CTT=5&amp;Origin=HP052042111033')" TargetMode="External"/><Relationship Id="rId76" Type="http://schemas.openxmlformats.org/officeDocument/2006/relationships/hyperlink" Target="javascript:go('/search/redir.aspx?AssetID=HP052091751033&amp;CTT=5&amp;Origin=HP052042111033')" TargetMode="External"/><Relationship Id="rId84" Type="http://schemas.openxmlformats.org/officeDocument/2006/relationships/hyperlink" Target="javascript:go('/search/redir.aspx?AssetID=HP052093211033&amp;CTT=5&amp;Origin=HP052042111033')" TargetMode="External"/><Relationship Id="rId7" Type="http://schemas.openxmlformats.org/officeDocument/2006/relationships/hyperlink" Target="javascript:go('/search/redir.aspx?AssetID=HP052090661033&amp;CTT=5&amp;Origin=HP052042111033')" TargetMode="External"/><Relationship Id="rId71" Type="http://schemas.openxmlformats.org/officeDocument/2006/relationships/hyperlink" Target="javascript:go('/search/redir.aspx?AssetID=HP052090201033&amp;CTT=5&amp;Origin=HP052042111033')" TargetMode="External"/><Relationship Id="rId2" Type="http://schemas.openxmlformats.org/officeDocument/2006/relationships/hyperlink" Target="javascript:go('/search/redir.aspx?AssetID=HP052090491033&amp;CTT=5&amp;Origin=HP052042111033')" TargetMode="External"/><Relationship Id="rId16" Type="http://schemas.openxmlformats.org/officeDocument/2006/relationships/hyperlink" Target="javascript:go('/search/redir.aspx?AssetID=HP052091971033&amp;CTT=5&amp;Origin=HP052042111033')" TargetMode="External"/><Relationship Id="rId29" Type="http://schemas.openxmlformats.org/officeDocument/2006/relationships/hyperlink" Target="javascript:go('/search/redir.aspx?AssetID=HP052090081033&amp;CTT=5&amp;Origin=HP052042111033')" TargetMode="External"/><Relationship Id="rId11" Type="http://schemas.openxmlformats.org/officeDocument/2006/relationships/hyperlink" Target="javascript:go('/search/redir.aspx?AssetID=HP052090461033&amp;CTT=5&amp;Origin=HP052042111033')" TargetMode="External"/><Relationship Id="rId24" Type="http://schemas.openxmlformats.org/officeDocument/2006/relationships/hyperlink" Target="javascript:go('/search/redir.aspx?AssetID=HP052090991033&amp;CTT=5&amp;Origin=HP052042111033')" TargetMode="External"/><Relationship Id="rId32" Type="http://schemas.openxmlformats.org/officeDocument/2006/relationships/hyperlink" Target="javascript:go('/search/redir.aspx?AssetID=HP052091471033&amp;CTT=5&amp;Origin=HP052042111033')" TargetMode="External"/><Relationship Id="rId37" Type="http://schemas.openxmlformats.org/officeDocument/2006/relationships/hyperlink" Target="javascript:go('/search/redir.aspx?AssetID=HP052091471033&amp;CTT=5&amp;Origin=HP052042111033')" TargetMode="External"/><Relationship Id="rId40" Type="http://schemas.openxmlformats.org/officeDocument/2006/relationships/hyperlink" Target="javascript:go('/search/redir.aspx?AssetID=HP052090861033&amp;CTT=5&amp;Origin=HP052042111033')" TargetMode="External"/><Relationship Id="rId45" Type="http://schemas.openxmlformats.org/officeDocument/2006/relationships/hyperlink" Target="javascript:go('/search/redir.aspx?AssetID=HP052090131033&amp;CTT=5&amp;Origin=HP052042111033')" TargetMode="External"/><Relationship Id="rId53" Type="http://schemas.openxmlformats.org/officeDocument/2006/relationships/hyperlink" Target="javascript:go('/search/redir.aspx?AssetID=HP052092291033&amp;CTT=5&amp;Origin=HP052042111033')" TargetMode="External"/><Relationship Id="rId58" Type="http://schemas.openxmlformats.org/officeDocument/2006/relationships/hyperlink" Target="javascript:go('/search/redir.aspx?AssetID=HP052092551033&amp;CTT=5&amp;Origin=HP052042111033')" TargetMode="External"/><Relationship Id="rId66" Type="http://schemas.openxmlformats.org/officeDocument/2006/relationships/hyperlink" Target="javascript:go('/search/redir.aspx?AssetID=HP052090291033&amp;CTT=5&amp;Origin=HP052042111033')" TargetMode="External"/><Relationship Id="rId74" Type="http://schemas.openxmlformats.org/officeDocument/2006/relationships/hyperlink" Target="javascript:go('/search/redir.aspx?AssetID=HP052091541033&amp;CTT=5&amp;Origin=HP052042111033')" TargetMode="External"/><Relationship Id="rId79" Type="http://schemas.openxmlformats.org/officeDocument/2006/relationships/hyperlink" Target="javascript:go('/search/redir.aspx?AssetID=HP052092361033&amp;CTT=5&amp;Origin=HP052042111033')" TargetMode="External"/><Relationship Id="rId87" Type="http://schemas.openxmlformats.org/officeDocument/2006/relationships/printerSettings" Target="../printerSettings/printerSettings19.bin"/><Relationship Id="rId5" Type="http://schemas.openxmlformats.org/officeDocument/2006/relationships/hyperlink" Target="javascript:go('/search/redir.aspx?AssetID=HP052090611033&amp;CTT=5&amp;Origin=HP052042111033')" TargetMode="External"/><Relationship Id="rId61" Type="http://schemas.openxmlformats.org/officeDocument/2006/relationships/hyperlink" Target="javascript:go('/search/redir.aspx?AssetID=HP052092921033&amp;CTT=5&amp;Origin=HP052042111033')" TargetMode="External"/><Relationship Id="rId82" Type="http://schemas.openxmlformats.org/officeDocument/2006/relationships/hyperlink" Target="javascript:go('/search/redir.aspx?AssetID=HP052092861033&amp;CTT=5&amp;Origin=HP052042111033')" TargetMode="External"/><Relationship Id="rId19" Type="http://schemas.openxmlformats.org/officeDocument/2006/relationships/hyperlink" Target="javascript:go('/search/redir.aspx?AssetID=HP052093371033&amp;CTT=5&amp;Origin=HP052042111033')" TargetMode="External"/><Relationship Id="rId4" Type="http://schemas.openxmlformats.org/officeDocument/2006/relationships/hyperlink" Target="javascript:go('/search/redir.aspx?AssetID=HP052090591033&amp;CTT=5&amp;Origin=HP052042111033')" TargetMode="External"/><Relationship Id="rId9" Type="http://schemas.openxmlformats.org/officeDocument/2006/relationships/hyperlink" Target="javascript:go('/search/redir.aspx?AssetID=HP052090421033&amp;CTT=5&amp;Origin=HP052042111033')" TargetMode="External"/><Relationship Id="rId14" Type="http://schemas.openxmlformats.org/officeDocument/2006/relationships/hyperlink" Target="javascript:go('/search/redir.aspx?AssetID=HP052090761033&amp;CTT=5&amp;Origin=HP052042111033')" TargetMode="External"/><Relationship Id="rId22" Type="http://schemas.openxmlformats.org/officeDocument/2006/relationships/hyperlink" Target="javascript:go('/search/redir.aspx?AssetID=HP052090511033&amp;CTT=5&amp;Origin=HP052042111033')" TargetMode="External"/><Relationship Id="rId27" Type="http://schemas.openxmlformats.org/officeDocument/2006/relationships/hyperlink" Target="javascript:go('/search/redir.aspx?AssetID=HP052092631033&amp;CTT=5&amp;Origin=HP052042111033')" TargetMode="External"/><Relationship Id="rId30" Type="http://schemas.openxmlformats.org/officeDocument/2006/relationships/hyperlink" Target="javascript:go('/search/redir.aspx?AssetID=HP052090791033&amp;CTT=5&amp;Origin=HP052042111033')" TargetMode="External"/><Relationship Id="rId35" Type="http://schemas.openxmlformats.org/officeDocument/2006/relationships/hyperlink" Target="javascript:go('/search/redir.aspx?AssetID=HP052091471033&amp;CTT=5&amp;Origin=HP052042111033')" TargetMode="External"/><Relationship Id="rId43" Type="http://schemas.openxmlformats.org/officeDocument/2006/relationships/hyperlink" Target="javascript:go('/search/redir.aspx?AssetID=HP052092091033&amp;CTT=5&amp;Origin=HP052042111033')" TargetMode="External"/><Relationship Id="rId48" Type="http://schemas.openxmlformats.org/officeDocument/2006/relationships/hyperlink" Target="javascript:go('/search/redir.aspx?AssetID=HP052091161033&amp;CTT=5&amp;Origin=HP052042111033')" TargetMode="External"/><Relationship Id="rId56" Type="http://schemas.openxmlformats.org/officeDocument/2006/relationships/hyperlink" Target="javascript:go('/search/redir.aspx?AssetID=HP052092411033&amp;CTT=5&amp;Origin=HP052042111033')" TargetMode="External"/><Relationship Id="rId64" Type="http://schemas.openxmlformats.org/officeDocument/2006/relationships/hyperlink" Target="javascript:go('/search/redir.aspx?AssetID=HP052090271033&amp;CTT=5&amp;Origin=HP052042111033')" TargetMode="External"/><Relationship Id="rId69" Type="http://schemas.openxmlformats.org/officeDocument/2006/relationships/hyperlink" Target="javascript:go('/search/redir.aspx?AssetID=HP052092311033&amp;CTT=5&amp;Origin=HP052042111033')" TargetMode="External"/><Relationship Id="rId77" Type="http://schemas.openxmlformats.org/officeDocument/2006/relationships/hyperlink" Target="javascript:go('/search/redir.aspx?AssetID=HP052092241033&amp;CTT=5&amp;Origin=HP052042111033')" TargetMode="External"/><Relationship Id="rId8" Type="http://schemas.openxmlformats.org/officeDocument/2006/relationships/hyperlink" Target="javascript:go('/search/redir.aspx?AssetID=HP052090691033&amp;CTT=5&amp;Origin=HP052042111033')" TargetMode="External"/><Relationship Id="rId51" Type="http://schemas.openxmlformats.org/officeDocument/2006/relationships/hyperlink" Target="javascript:go('/search/redir.aspx?AssetID=HP052093191033&amp;CTT=5&amp;Origin=HP052042111033')" TargetMode="External"/><Relationship Id="rId72" Type="http://schemas.openxmlformats.org/officeDocument/2006/relationships/hyperlink" Target="javascript:go('/search/redir.aspx?AssetID=HP052090891033&amp;CTT=5&amp;Origin=HP052042111033')" TargetMode="External"/><Relationship Id="rId80" Type="http://schemas.openxmlformats.org/officeDocument/2006/relationships/hyperlink" Target="javascript:go('/search/redir.aspx?AssetID=HP052092371033&amp;CTT=5&amp;Origin=HP052042111033')" TargetMode="External"/><Relationship Id="rId85" Type="http://schemas.openxmlformats.org/officeDocument/2006/relationships/hyperlink" Target="javascript:go('/search/redir.aspx?AssetID=HP052093271033&amp;CTT=5&amp;Origin=HP052042111033')" TargetMode="External"/><Relationship Id="rId3" Type="http://schemas.openxmlformats.org/officeDocument/2006/relationships/hyperlink" Target="javascript:go('/search/redir.aspx?AssetID=HP052090501033&amp;CTT=5&amp;Origin=HP052042111033')" TargetMode="External"/><Relationship Id="rId12" Type="http://schemas.openxmlformats.org/officeDocument/2006/relationships/hyperlink" Target="javascript:go('/search/redir.aspx?AssetID=HP052090471033&amp;CTT=5&amp;Origin=HP052042111033')" TargetMode="External"/><Relationship Id="rId17" Type="http://schemas.openxmlformats.org/officeDocument/2006/relationships/hyperlink" Target="javascript:go('/search/redir.aspx?AssetID=HP052093181033&amp;CTT=5&amp;Origin=HP052042111033')" TargetMode="External"/><Relationship Id="rId25" Type="http://schemas.openxmlformats.org/officeDocument/2006/relationships/hyperlink" Target="javascript:go('/search/redir.aspx?AssetID=HP052092151033&amp;CTT=5&amp;Origin=HP052042111033')" TargetMode="External"/><Relationship Id="rId33" Type="http://schemas.openxmlformats.org/officeDocument/2006/relationships/hyperlink" Target="javascript:go('/search/redir.aspx?AssetID=HP052091471033&amp;CTT=5&amp;Origin=HP052042111033')" TargetMode="External"/><Relationship Id="rId38" Type="http://schemas.openxmlformats.org/officeDocument/2006/relationships/hyperlink" Target="javascript:go('/search/redir.aspx?AssetID=HP052091471033&amp;CTT=5&amp;Origin=HP052042111033')" TargetMode="External"/><Relationship Id="rId46" Type="http://schemas.openxmlformats.org/officeDocument/2006/relationships/hyperlink" Target="javascript:go('/search/redir.aspx?AssetID=HP052091071033&amp;CTT=5&amp;Origin=HP052042111033')" TargetMode="External"/><Relationship Id="rId59" Type="http://schemas.openxmlformats.org/officeDocument/2006/relationships/hyperlink" Target="javascript:go('/search/redir.aspx?AssetID=HP052092881033&amp;CTT=5&amp;Origin=HP052042111033')" TargetMode="External"/><Relationship Id="rId67" Type="http://schemas.openxmlformats.org/officeDocument/2006/relationships/hyperlink" Target="javascript:go('/search/redir.aspx?AssetID=HP052091701033&amp;CTT=5&amp;Origin=HP052042111033')" TargetMode="External"/><Relationship Id="rId20" Type="http://schemas.openxmlformats.org/officeDocument/2006/relationships/hyperlink" Target="javascript:go('/search/redir.aspx?AssetID=HP052093391033&amp;CTT=5&amp;Origin=HP052042111033')" TargetMode="External"/><Relationship Id="rId41" Type="http://schemas.openxmlformats.org/officeDocument/2006/relationships/hyperlink" Target="javascript:go('/search/redir.aspx?AssetID=HP052091181033&amp;CTT=5&amp;Origin=HP052042111033')" TargetMode="External"/><Relationship Id="rId54" Type="http://schemas.openxmlformats.org/officeDocument/2006/relationships/hyperlink" Target="javascript:go('/search/redir.aspx?AssetID=HP052092301033&amp;CTT=5&amp;Origin=HP052042111033')" TargetMode="External"/><Relationship Id="rId62" Type="http://schemas.openxmlformats.org/officeDocument/2006/relationships/hyperlink" Target="javascript:go('/search/redir.aspx?AssetID=HP052089941033&amp;CTT=5&amp;Origin=HP052042111033')" TargetMode="External"/><Relationship Id="rId70" Type="http://schemas.openxmlformats.org/officeDocument/2006/relationships/hyperlink" Target="javascript:go('/search/redir.aspx?AssetID=HP052090141033&amp;CTT=5&amp;Origin=HP052042111033')" TargetMode="External"/><Relationship Id="rId75" Type="http://schemas.openxmlformats.org/officeDocument/2006/relationships/hyperlink" Target="javascript:go('/search/redir.aspx?AssetID=HP052091671033&amp;CTT=5&amp;Origin=HP052042111033')" TargetMode="External"/><Relationship Id="rId83" Type="http://schemas.openxmlformats.org/officeDocument/2006/relationships/hyperlink" Target="javascript:go('/search/redir.aspx?AssetID=HP052093131033&amp;CTT=5&amp;Origin=HP052042111033')" TargetMode="External"/><Relationship Id="rId1" Type="http://schemas.openxmlformats.org/officeDocument/2006/relationships/hyperlink" Target="javascript:go('/search/redir.aspx?AssetID=HP052090451033&amp;CTT=5&amp;Origin=HP052042111033')" TargetMode="External"/><Relationship Id="rId6" Type="http://schemas.openxmlformats.org/officeDocument/2006/relationships/hyperlink" Target="javascript:go('/search/redir.aspx?AssetID=HP052090621033&amp;CTT=5&amp;Origin=HP052042111033')" TargetMode="External"/><Relationship Id="rId15" Type="http://schemas.openxmlformats.org/officeDocument/2006/relationships/hyperlink" Target="javascript:go('/search/redir.aspx?AssetID=HP052091841033&amp;CTT=5&amp;Origin=HP052042111033')" TargetMode="External"/><Relationship Id="rId23" Type="http://schemas.openxmlformats.org/officeDocument/2006/relationships/hyperlink" Target="javascript:go('/search/redir.aspx?AssetID=HP052090601033&amp;CTT=5&amp;Origin=HP052042111033')" TargetMode="External"/><Relationship Id="rId28" Type="http://schemas.openxmlformats.org/officeDocument/2006/relationships/hyperlink" Target="javascript:go('/search/redir.aspx?AssetID=HP052093021033&amp;CTT=5&amp;Origin=HP052042111033')" TargetMode="External"/><Relationship Id="rId36" Type="http://schemas.openxmlformats.org/officeDocument/2006/relationships/hyperlink" Target="javascript:go('/search/redir.aspx?AssetID=HP052091471033&amp;CTT=5&amp;Origin=HP052042111033')" TargetMode="External"/><Relationship Id="rId49" Type="http://schemas.openxmlformats.org/officeDocument/2006/relationships/hyperlink" Target="javascript:go('/search/redir.aspx?AssetID=HP052091381033&amp;CTT=5&amp;Origin=HP052042111033')" TargetMode="External"/><Relationship Id="rId57" Type="http://schemas.openxmlformats.org/officeDocument/2006/relationships/hyperlink" Target="javascript:go('/search/redir.aspx?AssetID=HP052092421033&amp;CTT=5&amp;Origin=HP052042111033')" TargetMode="External"/><Relationship Id="rId10" Type="http://schemas.openxmlformats.org/officeDocument/2006/relationships/hyperlink" Target="javascript:go('/search/redir.aspx?AssetID=HP052090441033&amp;CTT=5&amp;Origin=HP052042111033')" TargetMode="External"/><Relationship Id="rId31" Type="http://schemas.openxmlformats.org/officeDocument/2006/relationships/hyperlink" Target="javascript:go('/search/redir.aspx?AssetID=HP052091401033&amp;CTT=5&amp;Origin=HP052042111033')" TargetMode="External"/><Relationship Id="rId44" Type="http://schemas.openxmlformats.org/officeDocument/2006/relationships/hyperlink" Target="javascript:go('/search/redir.aspx?AssetID=HP052093231033&amp;CTT=5&amp;Origin=HP052042111033')" TargetMode="External"/><Relationship Id="rId52" Type="http://schemas.openxmlformats.org/officeDocument/2006/relationships/hyperlink" Target="javascript:go('/search/redir.aspx?AssetID=HP052093351033&amp;CTT=5&amp;Origin=HP052042111033')" TargetMode="External"/><Relationship Id="rId60" Type="http://schemas.openxmlformats.org/officeDocument/2006/relationships/hyperlink" Target="javascript:go('/search/redir.aspx?AssetID=HP052092901033&amp;CTT=5&amp;Origin=HP052042111033')" TargetMode="External"/><Relationship Id="rId65" Type="http://schemas.openxmlformats.org/officeDocument/2006/relationships/hyperlink" Target="javascript:go('/search/redir.aspx?AssetID=HP052090281033&amp;CTT=5&amp;Origin=HP052042111033')" TargetMode="External"/><Relationship Id="rId73" Type="http://schemas.openxmlformats.org/officeDocument/2006/relationships/hyperlink" Target="javascript:go('/search/redir.aspx?AssetID=HP052091531033&amp;CTT=5&amp;Origin=HP052042111033')" TargetMode="External"/><Relationship Id="rId78" Type="http://schemas.openxmlformats.org/officeDocument/2006/relationships/hyperlink" Target="javascript:go('/search/redir.aspx?AssetID=HP052092351033&amp;CTT=5&amp;Origin=HP052042111033')" TargetMode="External"/><Relationship Id="rId81" Type="http://schemas.openxmlformats.org/officeDocument/2006/relationships/hyperlink" Target="javascript:go('/search/redir.aspx?AssetID=HP052092491033&amp;CTT=5&amp;Origin=HP052042111033')" TargetMode="External"/><Relationship Id="rId86" Type="http://schemas.openxmlformats.org/officeDocument/2006/relationships/hyperlink" Target="javascript:go('/search/redir.aspx?AssetID=HP052093291033&amp;CTT=5&amp;Origin=HP052042111033')"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17" Type="http://schemas.openxmlformats.org/officeDocument/2006/relationships/hyperlink" Target="http://office.microsoft.com/client/15/help/preview?AssetId=HA102752988&amp;lcid=1033&amp;NS=EXCEL&amp;Version=15&amp;tl=2&amp;CTT=5&amp;origin=HA102752955" TargetMode="External"/><Relationship Id="rId299" Type="http://schemas.openxmlformats.org/officeDocument/2006/relationships/hyperlink" Target="http://office.microsoft.com/client/15/help/preview?AssetId=HA102753269&amp;lcid=1033&amp;NS=EXCEL&amp;Version=15&amp;tl=2&amp;CTT=5&amp;origin=HA102752955" TargetMode="External"/><Relationship Id="rId21" Type="http://schemas.openxmlformats.org/officeDocument/2006/relationships/hyperlink" Target="http://office.microsoft.com/client/15/help/preview?AssetId=HA102753188&amp;lcid=1033&amp;NS=EXCEL&amp;Version=15&amp;tl=2&amp;CTT=5&amp;origin=HA102752955" TargetMode="External"/><Relationship Id="rId63" Type="http://schemas.openxmlformats.org/officeDocument/2006/relationships/hyperlink" Target="http://office.microsoft.com/client/15/help/preview?AssetId=HA102753035&amp;lcid=1033&amp;NS=EXCEL&amp;Version=15&amp;tl=2&amp;CTT=5&amp;origin=HA102752955" TargetMode="External"/><Relationship Id="rId159" Type="http://schemas.openxmlformats.org/officeDocument/2006/relationships/hyperlink" Target="http://office.microsoft.com/client/15/help/preview?AssetId=HA102752967&amp;lcid=1033&amp;NS=EXCEL&amp;Version=15&amp;tl=2&amp;CTT=5&amp;origin=HA102752955" TargetMode="External"/><Relationship Id="rId324" Type="http://schemas.openxmlformats.org/officeDocument/2006/relationships/hyperlink" Target="http://office.microsoft.com/client/15/help/preview?AssetId=HA102753167&amp;lcid=1033&amp;NS=EXCEL&amp;Version=15&amp;tl=2&amp;CTT=5&amp;origin=HA102752955" TargetMode="External"/><Relationship Id="rId366" Type="http://schemas.openxmlformats.org/officeDocument/2006/relationships/hyperlink" Target="http://office.microsoft.com/client/15/help/preview?AssetId=HA102752960&amp;lcid=1033&amp;NS=EXCEL&amp;Version=15&amp;tl=2&amp;CTT=5&amp;origin=HA102752955" TargetMode="External"/><Relationship Id="rId170" Type="http://schemas.openxmlformats.org/officeDocument/2006/relationships/hyperlink" Target="http://office.microsoft.com/client/15/help/preview?AssetId=HA102753293&amp;lcid=1033&amp;NS=EXCEL&amp;Version=15&amp;tl=2&amp;CTT=5&amp;origin=HA102752955" TargetMode="External"/><Relationship Id="rId226" Type="http://schemas.openxmlformats.org/officeDocument/2006/relationships/hyperlink" Target="http://office.microsoft.com/client/15/help/preview?AssetId=HA102753004&amp;lcid=1033&amp;NS=EXCEL&amp;Version=15&amp;tl=2&amp;CTT=5&amp;origin=HA102752955" TargetMode="External"/><Relationship Id="rId433" Type="http://schemas.openxmlformats.org/officeDocument/2006/relationships/hyperlink" Target="http://office.microsoft.com/client/15/help/preview?AssetId=HA102752958&amp;lcid=1033&amp;NS=EXCEL&amp;Version=15&amp;tl=2&amp;CTT=5&amp;origin=HA102752955" TargetMode="External"/><Relationship Id="rId268" Type="http://schemas.openxmlformats.org/officeDocument/2006/relationships/hyperlink" Target="http://office.microsoft.com/client/15/help/preview?AssetId=HA102753023&amp;lcid=1033&amp;NS=EXCEL&amp;Version=15&amp;tl=2&amp;CTT=5&amp;origin=HA102752955" TargetMode="External"/><Relationship Id="rId32" Type="http://schemas.openxmlformats.org/officeDocument/2006/relationships/hyperlink" Target="http://office.microsoft.com/client/15/help/preview?AssetId=HA102753175&amp;lcid=1033&amp;NS=EXCEL&amp;Version=15&amp;tl=2&amp;CTT=5&amp;origin=HA102752955" TargetMode="External"/><Relationship Id="rId74" Type="http://schemas.openxmlformats.org/officeDocument/2006/relationships/hyperlink" Target="http://office.microsoft.com/client/15/help/preview?AssetId=HA102752837&amp;lcid=1033&amp;NS=EXCEL&amp;Version=15&amp;tl=2&amp;CTT=5&amp;origin=HA102752955" TargetMode="External"/><Relationship Id="rId128" Type="http://schemas.openxmlformats.org/officeDocument/2006/relationships/hyperlink" Target="http://office.microsoft.com/client/15/help/preview?AssetId=HA102753289&amp;lcid=1033&amp;NS=EXCEL&amp;Version=15&amp;tl=2&amp;CTT=5&amp;origin=HA102752955" TargetMode="External"/><Relationship Id="rId335" Type="http://schemas.openxmlformats.org/officeDocument/2006/relationships/hyperlink" Target="http://office.microsoft.com/client/15/help/preview?AssetId=HA102753084&amp;lcid=1033&amp;NS=EXCEL&amp;Version=15&amp;tl=2&amp;CTT=5&amp;origin=HA102752955" TargetMode="External"/><Relationship Id="rId377" Type="http://schemas.openxmlformats.org/officeDocument/2006/relationships/hyperlink" Target="http://office.microsoft.com/client/15/help/preview?AssetId=HA102753151&amp;lcid=1033&amp;NS=EXCEL&amp;Version=15&amp;tl=2&amp;CTT=5&amp;origin=HA102752955" TargetMode="External"/><Relationship Id="rId5" Type="http://schemas.openxmlformats.org/officeDocument/2006/relationships/hyperlink" Target="http://office.microsoft.com/client/15/help/preview?AssetId=HA102753203&amp;lcid=1033&amp;NS=EXCEL&amp;Version=15&amp;tl=2&amp;CTT=5&amp;origin=HA102752955" TargetMode="External"/><Relationship Id="rId181" Type="http://schemas.openxmlformats.org/officeDocument/2006/relationships/hyperlink" Target="http://office.microsoft.com/client/15/help/preview?AssetId=HA102752847&amp;lcid=1033&amp;NS=EXCEL&amp;Version=15&amp;tl=2&amp;CTT=5&amp;origin=HA102752955" TargetMode="External"/><Relationship Id="rId237" Type="http://schemas.openxmlformats.org/officeDocument/2006/relationships/hyperlink" Target="http://office.microsoft.com/client/15/help/preview?AssetId=HA102752833&amp;lcid=1033&amp;NS=EXCEL&amp;Version=15&amp;tl=2&amp;CTT=5&amp;origin=HA102752955" TargetMode="External"/><Relationship Id="rId402" Type="http://schemas.openxmlformats.org/officeDocument/2006/relationships/hyperlink" Target="http://office.microsoft.com/client/15/help/preview?AssetId=HA102752862&amp;lcid=1033&amp;NS=EXCEL&amp;Version=15&amp;tl=2&amp;CTT=5&amp;origin=HA102752955" TargetMode="External"/><Relationship Id="rId279" Type="http://schemas.openxmlformats.org/officeDocument/2006/relationships/hyperlink" Target="http://office.microsoft.com/client/15/help/preview?AssetId=HA102752940&amp;lcid=1033&amp;NS=EXCEL&amp;Version=15&amp;tl=2&amp;CTT=5&amp;origin=HA102752955" TargetMode="External"/><Relationship Id="rId444" Type="http://schemas.openxmlformats.org/officeDocument/2006/relationships/hyperlink" Target="http://office.microsoft.com/client/15/help/preview?AssetId=HA102752857&amp;lcid=1033&amp;NS=EXCEL&amp;Version=15&amp;tl=2&amp;CTT=5&amp;origin=HA102752955" TargetMode="External"/><Relationship Id="rId43" Type="http://schemas.openxmlformats.org/officeDocument/2006/relationships/hyperlink" Target="http://office.microsoft.com/client/15/help/preview?AssetId=HA102753232&amp;lcid=1033&amp;NS=EXCEL&amp;Version=15&amp;tl=2&amp;CTT=5&amp;origin=HA102752955" TargetMode="External"/><Relationship Id="rId139" Type="http://schemas.openxmlformats.org/officeDocument/2006/relationships/hyperlink" Target="http://office.microsoft.com/client/15/help/preview?AssetId=HA102753119&amp;lcid=1033&amp;NS=EXCEL&amp;Version=15&amp;tl=2&amp;CTT=5&amp;origin=HA102752955" TargetMode="External"/><Relationship Id="rId290" Type="http://schemas.openxmlformats.org/officeDocument/2006/relationships/hyperlink" Target="http://office.microsoft.com/client/15/help/preview?AssetId=HA102752893&amp;lcid=1033&amp;NS=EXCEL&amp;Version=15&amp;tl=2&amp;CTT=5&amp;origin=HA102752955" TargetMode="External"/><Relationship Id="rId304" Type="http://schemas.openxmlformats.org/officeDocument/2006/relationships/hyperlink" Target="http://office.microsoft.com/client/15/help/preview?AssetId=HA102752864&amp;lcid=1033&amp;NS=EXCEL&amp;Version=15&amp;tl=2&amp;CTT=5&amp;origin=HA102752955" TargetMode="External"/><Relationship Id="rId346" Type="http://schemas.openxmlformats.org/officeDocument/2006/relationships/hyperlink" Target="http://office.microsoft.com/client/15/help/preview?AssetId=HA102753158&amp;lcid=1033&amp;NS=EXCEL&amp;Version=15&amp;tl=2&amp;CTT=5&amp;origin=HA102752955" TargetMode="External"/><Relationship Id="rId388" Type="http://schemas.openxmlformats.org/officeDocument/2006/relationships/hyperlink" Target="http://office.microsoft.com/client/15/help/preview?AssetId=HA102752906&amp;lcid=1033&amp;NS=EXCEL&amp;Version=15&amp;tl=2&amp;CTT=5&amp;origin=HA102752955" TargetMode="External"/><Relationship Id="rId85" Type="http://schemas.openxmlformats.org/officeDocument/2006/relationships/hyperlink" Target="http://office.microsoft.com/client/15/help/preview?AssetId=HA102753102&amp;lcid=1033&amp;NS=EXCEL&amp;Version=15&amp;tl=2&amp;CTT=5&amp;origin=HA102752955" TargetMode="External"/><Relationship Id="rId150" Type="http://schemas.openxmlformats.org/officeDocument/2006/relationships/hyperlink" Target="http://office.microsoft.com/client/15/help/preview?AssetId=HA102753049&amp;lcid=1033&amp;NS=EXCEL&amp;Version=15&amp;tl=2&amp;CTT=5&amp;origin=HA102752955" TargetMode="External"/><Relationship Id="rId192" Type="http://schemas.openxmlformats.org/officeDocument/2006/relationships/hyperlink" Target="http://office.microsoft.com/client/15/help/preview?AssetId=HA102753029&amp;lcid=1033&amp;NS=EXCEL&amp;Version=15&amp;tl=2&amp;CTT=5&amp;origin=HA102752955" TargetMode="External"/><Relationship Id="rId206" Type="http://schemas.openxmlformats.org/officeDocument/2006/relationships/hyperlink" Target="http://office.microsoft.com/client/15/help/preview?AssetId=HA102752926&amp;lcid=1033&amp;NS=EXCEL&amp;Version=15&amp;tl=2&amp;CTT=5&amp;origin=HA102752955" TargetMode="External"/><Relationship Id="rId413" Type="http://schemas.openxmlformats.org/officeDocument/2006/relationships/hyperlink" Target="http://office.microsoft.com/client/15/help/preview?AssetId=HA102753135&amp;lcid=1033&amp;NS=EXCEL&amp;Version=15&amp;tl=2&amp;CTT=5&amp;origin=HA102752955" TargetMode="External"/><Relationship Id="rId248" Type="http://schemas.openxmlformats.org/officeDocument/2006/relationships/hyperlink" Target="http://office.microsoft.com/client/15/help/preview?AssetId=HA102753112&amp;lcid=1033&amp;NS=EXCEL&amp;Version=15&amp;tl=2&amp;CTT=5&amp;origin=HA102752955" TargetMode="External"/><Relationship Id="rId455" Type="http://schemas.openxmlformats.org/officeDocument/2006/relationships/hyperlink" Target="http://office.microsoft.com/client/15/help/preview?AssetId=HA102752865&amp;lcid=1033&amp;NS=EXCEL&amp;Version=15&amp;tl=2&amp;CTT=5&amp;origin=HA102752955" TargetMode="External"/><Relationship Id="rId12" Type="http://schemas.openxmlformats.org/officeDocument/2006/relationships/hyperlink" Target="http://office.microsoft.com/client/15/help/preview?AssetId=HA102753196&amp;lcid=1033&amp;NS=EXCEL&amp;Version=15&amp;tl=2&amp;CTT=5&amp;origin=HA102752955" TargetMode="External"/><Relationship Id="rId108" Type="http://schemas.openxmlformats.org/officeDocument/2006/relationships/hyperlink" Target="http://office.microsoft.com/client/15/help/preview?AssetId=HA102752993&amp;lcid=1033&amp;NS=EXCEL&amp;Version=15&amp;tl=2&amp;CTT=5&amp;origin=HA102752955" TargetMode="External"/><Relationship Id="rId315" Type="http://schemas.openxmlformats.org/officeDocument/2006/relationships/hyperlink" Target="http://office.microsoft.com/client/15/help/preview?AssetId=HA102752845&amp;lcid=1033&amp;NS=EXCEL&amp;Version=15&amp;tl=2&amp;CTT=5&amp;origin=HA102752955" TargetMode="External"/><Relationship Id="rId357" Type="http://schemas.openxmlformats.org/officeDocument/2006/relationships/hyperlink" Target="http://office.microsoft.com/client/15/help/preview?AssetId=HA102753008&amp;lcid=1033&amp;NS=EXCEL&amp;Version=15&amp;tl=2&amp;CTT=5&amp;origin=HA102752955" TargetMode="External"/><Relationship Id="rId54" Type="http://schemas.openxmlformats.org/officeDocument/2006/relationships/hyperlink" Target="http://office.microsoft.com/client/15/help/preview?AssetId=HA102753041&amp;lcid=1033&amp;NS=EXCEL&amp;Version=15&amp;tl=2&amp;CTT=5&amp;origin=HA102752955" TargetMode="External"/><Relationship Id="rId96" Type="http://schemas.openxmlformats.org/officeDocument/2006/relationships/hyperlink" Target="http://office.microsoft.com/client/15/help/preview?AssetId=HA102753056&amp;lcid=1033&amp;NS=EXCEL&amp;Version=15&amp;tl=2&amp;CTT=5&amp;origin=HA102752955" TargetMode="External"/><Relationship Id="rId161" Type="http://schemas.openxmlformats.org/officeDocument/2006/relationships/hyperlink" Target="http://office.microsoft.com/client/15/help/preview?AssetId=HA102752939&amp;lcid=1033&amp;NS=EXCEL&amp;Version=15&amp;tl=2&amp;CTT=5&amp;origin=HA102752955" TargetMode="External"/><Relationship Id="rId217" Type="http://schemas.openxmlformats.org/officeDocument/2006/relationships/hyperlink" Target="http://office.microsoft.com/client/15/help/preview?AssetId=HA102752909&amp;lcid=1033&amp;NS=EXCEL&amp;Version=15&amp;tl=2&amp;CTT=5&amp;origin=HA102752955" TargetMode="External"/><Relationship Id="rId399" Type="http://schemas.openxmlformats.org/officeDocument/2006/relationships/hyperlink" Target="http://office.microsoft.com/client/15/help/preview?AssetId=HA102753266&amp;lcid=1033&amp;NS=EXCEL&amp;Version=15&amp;tl=2&amp;CTT=5&amp;origin=HA102752955" TargetMode="External"/><Relationship Id="rId259" Type="http://schemas.openxmlformats.org/officeDocument/2006/relationships/hyperlink" Target="http://office.microsoft.com/client/15/help/preview?AssetId=HA102753260&amp;lcid=1033&amp;NS=EXCEL&amp;Version=15&amp;tl=2&amp;CTT=5&amp;origin=HA102752955" TargetMode="External"/><Relationship Id="rId424" Type="http://schemas.openxmlformats.org/officeDocument/2006/relationships/hyperlink" Target="http://office.microsoft.com/client/15/help/preview?AssetId=HA102753095&amp;lcid=1033&amp;NS=EXCEL&amp;Version=15&amp;tl=2&amp;CTT=5&amp;origin=HA102752955" TargetMode="External"/><Relationship Id="rId23" Type="http://schemas.openxmlformats.org/officeDocument/2006/relationships/hyperlink" Target="http://office.microsoft.com/client/15/help/preview?AssetId=HA102753184&amp;lcid=1033&amp;NS=EXCEL&amp;Version=15&amp;tl=2&amp;CTT=5&amp;origin=HA102752955" TargetMode="External"/><Relationship Id="rId119" Type="http://schemas.openxmlformats.org/officeDocument/2006/relationships/hyperlink" Target="http://office.microsoft.com/client/15/help/preview?AssetId=HA102752986&amp;lcid=1033&amp;NS=EXCEL&amp;Version=15&amp;tl=2&amp;CTT=5&amp;origin=HA102752955" TargetMode="External"/><Relationship Id="rId270" Type="http://schemas.openxmlformats.org/officeDocument/2006/relationships/hyperlink" Target="http://office.microsoft.com/client/15/help/preview?AssetId=HA102753279&amp;lcid=1033&amp;NS=EXCEL&amp;Version=15&amp;tl=2&amp;CTT=5&amp;origin=HA102752955" TargetMode="External"/><Relationship Id="rId291" Type="http://schemas.openxmlformats.org/officeDocument/2006/relationships/hyperlink" Target="http://office.microsoft.com/client/15/help/preview?AssetId=HA102752892&amp;lcid=1033&amp;NS=EXCEL&amp;Version=15&amp;tl=2&amp;CTT=5&amp;origin=HA102752955" TargetMode="External"/><Relationship Id="rId305" Type="http://schemas.openxmlformats.org/officeDocument/2006/relationships/hyperlink" Target="http://office.microsoft.com/client/15/help/preview?AssetId=HA102752863&amp;lcid=1033&amp;NS=EXCEL&amp;Version=15&amp;tl=2&amp;CTT=5&amp;origin=HA102752955" TargetMode="External"/><Relationship Id="rId326" Type="http://schemas.openxmlformats.org/officeDocument/2006/relationships/hyperlink" Target="http://office.microsoft.com/client/15/help/preview?AssetId=HA102753250&amp;lcid=1033&amp;NS=EXCEL&amp;Version=15&amp;tl=2&amp;CTT=5&amp;origin=HA102752955" TargetMode="External"/><Relationship Id="rId347" Type="http://schemas.openxmlformats.org/officeDocument/2006/relationships/hyperlink" Target="http://office.microsoft.com/client/15/help/preview?AssetId=HA102753242&amp;lcid=1033&amp;NS=EXCEL&amp;Version=15&amp;tl=2&amp;CTT=5&amp;origin=HA102752955" TargetMode="External"/><Relationship Id="rId44" Type="http://schemas.openxmlformats.org/officeDocument/2006/relationships/hyperlink" Target="http://office.microsoft.com/client/15/help/preview?AssetId=HA102753231&amp;lcid=1033&amp;NS=EXCEL&amp;Version=15&amp;tl=2&amp;CTT=5&amp;origin=HA102752955" TargetMode="External"/><Relationship Id="rId65" Type="http://schemas.openxmlformats.org/officeDocument/2006/relationships/hyperlink" Target="http://office.microsoft.com/client/15/help/preview?AssetId=HA102752996&amp;lcid=1033&amp;NS=EXCEL&amp;Version=15&amp;tl=2&amp;CTT=5&amp;origin=HA102752955" TargetMode="External"/><Relationship Id="rId86" Type="http://schemas.openxmlformats.org/officeDocument/2006/relationships/hyperlink" Target="http://office.microsoft.com/client/15/help/preview?AssetId=HA102753101&amp;lcid=1033&amp;NS=EXCEL&amp;Version=15&amp;tl=2&amp;CTT=5&amp;origin=HA102752955" TargetMode="External"/><Relationship Id="rId130" Type="http://schemas.openxmlformats.org/officeDocument/2006/relationships/hyperlink" Target="http://office.microsoft.com/client/15/help/preview?AssetId=HA102752978&amp;lcid=1033&amp;NS=EXCEL&amp;Version=15&amp;tl=2&amp;CTT=5&amp;origin=HA102752955" TargetMode="External"/><Relationship Id="rId151" Type="http://schemas.openxmlformats.org/officeDocument/2006/relationships/hyperlink" Target="http://office.microsoft.com/client/15/help/preview?AssetId=HA102753045&amp;lcid=1033&amp;NS=EXCEL&amp;Version=15&amp;tl=2&amp;CTT=5&amp;origin=HA102752955" TargetMode="External"/><Relationship Id="rId368" Type="http://schemas.openxmlformats.org/officeDocument/2006/relationships/hyperlink" Target="http://office.microsoft.com/client/15/help/preview?AssetId=HA102752951&amp;lcid=1033&amp;NS=EXCEL&amp;Version=15&amp;tl=2&amp;CTT=5&amp;origin=HA102752955" TargetMode="External"/><Relationship Id="rId389" Type="http://schemas.openxmlformats.org/officeDocument/2006/relationships/hyperlink" Target="http://office.microsoft.com/client/15/help/preview?AssetId=HA102753264&amp;lcid=1033&amp;NS=EXCEL&amp;Version=15&amp;tl=2&amp;CTT=5&amp;origin=HA102752955" TargetMode="External"/><Relationship Id="rId172" Type="http://schemas.openxmlformats.org/officeDocument/2006/relationships/hyperlink" Target="http://office.microsoft.com/client/15/help/preview?AssetId=HA102752901&amp;lcid=1033&amp;NS=EXCEL&amp;Version=15&amp;tl=2&amp;CTT=5&amp;origin=HA102752955" TargetMode="External"/><Relationship Id="rId193" Type="http://schemas.openxmlformats.org/officeDocument/2006/relationships/hyperlink" Target="http://office.microsoft.com/client/15/help/preview?AssetId=HA102752974&amp;lcid=1033&amp;NS=EXCEL&amp;Version=15&amp;tl=2&amp;CTT=5&amp;origin=HA102752955" TargetMode="External"/><Relationship Id="rId207" Type="http://schemas.openxmlformats.org/officeDocument/2006/relationships/hyperlink" Target="http://office.microsoft.com/client/15/help/preview?AssetId=HA102752925&amp;lcid=1033&amp;NS=EXCEL&amp;Version=15&amp;tl=2&amp;CTT=5&amp;origin=HA102752955" TargetMode="External"/><Relationship Id="rId228" Type="http://schemas.openxmlformats.org/officeDocument/2006/relationships/hyperlink" Target="http://office.microsoft.com/client/15/help/preview?AssetId=HA102752995&amp;lcid=1033&amp;NS=EXCEL&amp;Version=15&amp;tl=2&amp;CTT=5&amp;origin=HA102752955" TargetMode="External"/><Relationship Id="rId249" Type="http://schemas.openxmlformats.org/officeDocument/2006/relationships/hyperlink" Target="http://office.microsoft.com/client/15/help/preview?AssetId=HA102753111&amp;lcid=1033&amp;NS=EXCEL&amp;Version=15&amp;tl=2&amp;CTT=5&amp;origin=HA102752955" TargetMode="External"/><Relationship Id="rId414" Type="http://schemas.openxmlformats.org/officeDocument/2006/relationships/hyperlink" Target="http://office.microsoft.com/client/15/help/preview?AssetId=HA102752832&amp;lcid=1033&amp;NS=EXCEL&amp;Version=15&amp;tl=2&amp;CTT=5&amp;origin=HA102752955" TargetMode="External"/><Relationship Id="rId435" Type="http://schemas.openxmlformats.org/officeDocument/2006/relationships/hyperlink" Target="http://office.microsoft.com/client/15/help/preview?AssetId=HA102752946&amp;lcid=1033&amp;NS=EXCEL&amp;Version=15&amp;tl=2&amp;CTT=5&amp;origin=HA102752955" TargetMode="External"/><Relationship Id="rId456" Type="http://schemas.openxmlformats.org/officeDocument/2006/relationships/hyperlink" Target="http://office.microsoft.com/client/15/help/preview?AssetId=HA102780999&amp;lcid=1033&amp;NS=EXCEL&amp;Version=15&amp;tl=2&amp;CTT=5&amp;origin=HA102752955" TargetMode="External"/><Relationship Id="rId13" Type="http://schemas.openxmlformats.org/officeDocument/2006/relationships/hyperlink" Target="http://office.microsoft.com/client/15/help/preview?AssetId=HA102753195&amp;lcid=1033&amp;NS=EXCEL&amp;Version=15&amp;tl=2&amp;CTT=5&amp;origin=HA102752955" TargetMode="External"/><Relationship Id="rId109" Type="http://schemas.openxmlformats.org/officeDocument/2006/relationships/hyperlink" Target="http://office.microsoft.com/client/15/help/preview?AssetId=HA102752992&amp;lcid=1033&amp;NS=EXCEL&amp;Version=15&amp;tl=2&amp;CTT=5&amp;origin=HA102752955" TargetMode="External"/><Relationship Id="rId260" Type="http://schemas.openxmlformats.org/officeDocument/2006/relationships/hyperlink" Target="http://office.microsoft.com/client/15/help/preview?AssetId=HA102753261&amp;lcid=1033&amp;NS=EXCEL&amp;Version=15&amp;tl=2&amp;CTT=5&amp;origin=HA102752955" TargetMode="External"/><Relationship Id="rId281" Type="http://schemas.openxmlformats.org/officeDocument/2006/relationships/hyperlink" Target="http://office.microsoft.com/client/15/help/preview?AssetId=HA102752931&amp;lcid=1033&amp;NS=EXCEL&amp;Version=15&amp;tl=2&amp;CTT=5&amp;origin=HA102752955" TargetMode="External"/><Relationship Id="rId316" Type="http://schemas.openxmlformats.org/officeDocument/2006/relationships/hyperlink" Target="http://office.microsoft.com/client/15/help/preview?AssetId=HA102752844&amp;lcid=1033&amp;NS=EXCEL&amp;Version=15&amp;tl=2&amp;CTT=5&amp;origin=HA102752955" TargetMode="External"/><Relationship Id="rId337" Type="http://schemas.openxmlformats.org/officeDocument/2006/relationships/hyperlink" Target="http://office.microsoft.com/client/15/help/preview?AssetId=HA102753080&amp;lcid=1033&amp;NS=EXCEL&amp;Version=15&amp;tl=2&amp;CTT=5&amp;origin=HA102752955" TargetMode="External"/><Relationship Id="rId34" Type="http://schemas.openxmlformats.org/officeDocument/2006/relationships/hyperlink" Target="http://office.microsoft.com/client/15/help/preview?AssetId=HA102753173&amp;lcid=1033&amp;NS=EXCEL&amp;Version=15&amp;tl=2&amp;CTT=5&amp;origin=HA102752955" TargetMode="External"/><Relationship Id="rId55" Type="http://schemas.openxmlformats.org/officeDocument/2006/relationships/hyperlink" Target="http://office.microsoft.com/client/15/help/preview?AssetId=HA102753040&amp;lcid=1033&amp;NS=EXCEL&amp;Version=15&amp;tl=2&amp;CTT=5&amp;origin=HA102752955" TargetMode="External"/><Relationship Id="rId76" Type="http://schemas.openxmlformats.org/officeDocument/2006/relationships/hyperlink" Target="http://office.microsoft.com/client/15/help/preview?AssetId=HA102752819&amp;lcid=1033&amp;NS=EXCEL&amp;Version=15&amp;tl=2&amp;CTT=5&amp;origin=HA102752955" TargetMode="External"/><Relationship Id="rId97" Type="http://schemas.openxmlformats.org/officeDocument/2006/relationships/hyperlink" Target="http://office.microsoft.com/client/15/help/preview?AssetId=HA102753055&amp;lcid=1033&amp;NS=EXCEL&amp;Version=15&amp;tl=2&amp;CTT=5&amp;origin=HA102752955" TargetMode="External"/><Relationship Id="rId120" Type="http://schemas.openxmlformats.org/officeDocument/2006/relationships/hyperlink" Target="http://office.microsoft.com/client/15/help/preview?AssetId=HA102752985&amp;lcid=1033&amp;NS=EXCEL&amp;Version=15&amp;tl=2&amp;CTT=5&amp;origin=HA102752955" TargetMode="External"/><Relationship Id="rId141" Type="http://schemas.openxmlformats.org/officeDocument/2006/relationships/hyperlink" Target="http://office.microsoft.com/client/15/help/preview?AssetId=HA102753075&amp;lcid=1033&amp;NS=EXCEL&amp;Version=15&amp;tl=2&amp;CTT=5&amp;origin=HA102752955" TargetMode="External"/><Relationship Id="rId358" Type="http://schemas.openxmlformats.org/officeDocument/2006/relationships/hyperlink" Target="http://office.microsoft.com/client/15/help/preview?AssetId=HA102752805&amp;lcid=1033&amp;NS=EXCEL&amp;Version=15&amp;tl=2&amp;CTT=5&amp;origin=HA102752955" TargetMode="External"/><Relationship Id="rId379" Type="http://schemas.openxmlformats.org/officeDocument/2006/relationships/hyperlink" Target="http://office.microsoft.com/client/15/help/preview?AssetId=HA102753148&amp;lcid=1033&amp;NS=EXCEL&amp;Version=15&amp;tl=2&amp;CTT=5&amp;origin=HA102752955" TargetMode="External"/><Relationship Id="rId7" Type="http://schemas.openxmlformats.org/officeDocument/2006/relationships/hyperlink" Target="http://office.microsoft.com/client/15/help/preview?AssetId=HA102753201&amp;lcid=1033&amp;NS=EXCEL&amp;Version=15&amp;tl=2&amp;CTT=5&amp;origin=HA102752955" TargetMode="External"/><Relationship Id="rId162" Type="http://schemas.openxmlformats.org/officeDocument/2006/relationships/hyperlink" Target="http://office.microsoft.com/client/15/help/preview?AssetId=HA102752932&amp;lcid=1033&amp;NS=EXCEL&amp;Version=15&amp;tl=2&amp;CTT=5&amp;origin=HA102752955" TargetMode="External"/><Relationship Id="rId183" Type="http://schemas.openxmlformats.org/officeDocument/2006/relationships/hyperlink" Target="http://office.microsoft.com/client/15/help/preview?AssetId=HA102752842&amp;lcid=1033&amp;NS=EXCEL&amp;Version=15&amp;tl=2&amp;CTT=5&amp;origin=HA102752955" TargetMode="External"/><Relationship Id="rId218" Type="http://schemas.openxmlformats.org/officeDocument/2006/relationships/hyperlink" Target="http://office.microsoft.com/client/15/help/preview?AssetId=HA102752829&amp;lcid=1033&amp;NS=EXCEL&amp;Version=15&amp;tl=2&amp;CTT=5&amp;origin=HA102752955" TargetMode="External"/><Relationship Id="rId239" Type="http://schemas.openxmlformats.org/officeDocument/2006/relationships/hyperlink" Target="http://office.microsoft.com/client/15/help/preview?AssetId=HA102753128&amp;lcid=1033&amp;NS=EXCEL&amp;Version=15&amp;tl=2&amp;CTT=5&amp;origin=HA102752955" TargetMode="External"/><Relationship Id="rId390" Type="http://schemas.openxmlformats.org/officeDocument/2006/relationships/hyperlink" Target="http://office.microsoft.com/client/15/help/preview?AssetId=HA102753265&amp;lcid=1033&amp;NS=EXCEL&amp;Version=15&amp;tl=2&amp;CTT=5&amp;origin=HA102752955" TargetMode="External"/><Relationship Id="rId404" Type="http://schemas.openxmlformats.org/officeDocument/2006/relationships/hyperlink" Target="http://office.microsoft.com/client/15/help/preview?AssetId=HA102753139&amp;lcid=1033&amp;NS=EXCEL&amp;Version=15&amp;tl=2&amp;CTT=5&amp;origin=HA102752955" TargetMode="External"/><Relationship Id="rId425" Type="http://schemas.openxmlformats.org/officeDocument/2006/relationships/hyperlink" Target="http://office.microsoft.com/client/15/help/preview?AssetId=HA102753093&amp;lcid=1033&amp;NS=EXCEL&amp;Version=15&amp;tl=2&amp;CTT=5&amp;origin=HA102752955" TargetMode="External"/><Relationship Id="rId446" Type="http://schemas.openxmlformats.org/officeDocument/2006/relationships/hyperlink" Target="http://office.microsoft.com/client/15/help/preview?AssetId=HA102752840&amp;lcid=1033&amp;NS=EXCEL&amp;Version=15&amp;tl=2&amp;CTT=5&amp;origin=HA102752955" TargetMode="External"/><Relationship Id="rId250" Type="http://schemas.openxmlformats.org/officeDocument/2006/relationships/hyperlink" Target="http://office.microsoft.com/client/15/help/preview?AssetId=HA102753110&amp;lcid=1033&amp;NS=EXCEL&amp;Version=15&amp;tl=2&amp;CTT=5&amp;origin=HA102752955" TargetMode="External"/><Relationship Id="rId271" Type="http://schemas.openxmlformats.org/officeDocument/2006/relationships/hyperlink" Target="http://office.microsoft.com/client/15/help/preview?AssetId=HA102753212&amp;lcid=1033&amp;NS=EXCEL&amp;Version=15&amp;tl=2&amp;CTT=5&amp;origin=HA102752955" TargetMode="External"/><Relationship Id="rId292" Type="http://schemas.openxmlformats.org/officeDocument/2006/relationships/hyperlink" Target="http://office.microsoft.com/client/15/help/preview?AssetId=HA102752891&amp;lcid=1033&amp;NS=EXCEL&amp;Version=15&amp;tl=2&amp;CTT=5&amp;origin=HA102752955" TargetMode="External"/><Relationship Id="rId306" Type="http://schemas.openxmlformats.org/officeDocument/2006/relationships/hyperlink" Target="http://office.microsoft.com/client/15/help/preview?AssetId=HA102752856&amp;lcid=1033&amp;NS=EXCEL&amp;Version=15&amp;tl=2&amp;CTT=5&amp;origin=HA102752955" TargetMode="External"/><Relationship Id="rId24" Type="http://schemas.openxmlformats.org/officeDocument/2006/relationships/hyperlink" Target="http://office.microsoft.com/client/15/help/preview?AssetId=HA102753183&amp;lcid=1033&amp;NS=EXCEL&amp;Version=15&amp;tl=2&amp;CTT=5&amp;origin=HA102752955" TargetMode="External"/><Relationship Id="rId45" Type="http://schemas.openxmlformats.org/officeDocument/2006/relationships/hyperlink" Target="http://office.microsoft.com/client/15/help/preview?AssetId=HA102753230&amp;lcid=1033&amp;NS=EXCEL&amp;Version=15&amp;tl=2&amp;CTT=5&amp;origin=HA102752955" TargetMode="External"/><Relationship Id="rId66" Type="http://schemas.openxmlformats.org/officeDocument/2006/relationships/hyperlink" Target="http://office.microsoft.com/client/15/help/preview?AssetId=HA102753290&amp;lcid=1033&amp;NS=EXCEL&amp;Version=15&amp;tl=2&amp;CTT=5&amp;origin=HA102752955" TargetMode="External"/><Relationship Id="rId87" Type="http://schemas.openxmlformats.org/officeDocument/2006/relationships/hyperlink" Target="http://office.microsoft.com/client/15/help/preview?AssetId=HA102753100&amp;lcid=1033&amp;NS=EXCEL&amp;Version=15&amp;tl=2&amp;CTT=5&amp;origin=HA102752955" TargetMode="External"/><Relationship Id="rId110" Type="http://schemas.openxmlformats.org/officeDocument/2006/relationships/hyperlink" Target="http://office.microsoft.com/client/15/help/preview?AssetId=HA102752991&amp;lcid=1033&amp;NS=EXCEL&amp;Version=15&amp;tl=2&amp;CTT=5&amp;origin=HA102752955" TargetMode="External"/><Relationship Id="rId131" Type="http://schemas.openxmlformats.org/officeDocument/2006/relationships/hyperlink" Target="http://office.microsoft.com/client/15/help/preview?AssetId=HA102752977&amp;lcid=1033&amp;NS=EXCEL&amp;Version=15&amp;tl=2&amp;CTT=5&amp;origin=HA102752955" TargetMode="External"/><Relationship Id="rId327" Type="http://schemas.openxmlformats.org/officeDocument/2006/relationships/hyperlink" Target="http://office.microsoft.com/client/15/help/preview?AssetId=HA102753160&amp;lcid=1033&amp;NS=EXCEL&amp;Version=15&amp;tl=2&amp;CTT=5&amp;origin=HA102752955" TargetMode="External"/><Relationship Id="rId348" Type="http://schemas.openxmlformats.org/officeDocument/2006/relationships/hyperlink" Target="http://office.microsoft.com/client/15/help/preview?AssetId=HA102753157&amp;lcid=1033&amp;NS=EXCEL&amp;Version=15&amp;tl=2&amp;CTT=5&amp;origin=HA102752955" TargetMode="External"/><Relationship Id="rId369" Type="http://schemas.openxmlformats.org/officeDocument/2006/relationships/hyperlink" Target="http://office.microsoft.com/client/15/help/preview?AssetId=HA102753152&amp;lcid=1033&amp;NS=EXCEL&amp;Version=15&amp;tl=2&amp;CTT=5&amp;origin=HA102752955" TargetMode="External"/><Relationship Id="rId152" Type="http://schemas.openxmlformats.org/officeDocument/2006/relationships/hyperlink" Target="http://office.microsoft.com/client/15/help/preview?AssetId=HA102753044&amp;lcid=1033&amp;NS=EXCEL&amp;Version=15&amp;tl=2&amp;CTT=5&amp;origin=HA102752955" TargetMode="External"/><Relationship Id="rId173" Type="http://schemas.openxmlformats.org/officeDocument/2006/relationships/hyperlink" Target="http://office.microsoft.com/client/15/help/preview?AssetId=HA102752900&amp;lcid=1033&amp;NS=EXCEL&amp;Version=15&amp;tl=2&amp;CTT=5&amp;origin=HA102752955" TargetMode="External"/><Relationship Id="rId194" Type="http://schemas.openxmlformats.org/officeDocument/2006/relationships/hyperlink" Target="http://office.microsoft.com/client/15/help/preview?AssetId=HA102752966&amp;lcid=1033&amp;NS=EXCEL&amp;Version=15&amp;tl=2&amp;CTT=5&amp;origin=HA102752955" TargetMode="External"/><Relationship Id="rId208" Type="http://schemas.openxmlformats.org/officeDocument/2006/relationships/hyperlink" Target="http://office.microsoft.com/client/15/help/preview?AssetId=HA102753270&amp;lcid=1033&amp;NS=EXCEL&amp;Version=15&amp;tl=2&amp;CTT=5&amp;origin=HA102752955" TargetMode="External"/><Relationship Id="rId229" Type="http://schemas.openxmlformats.org/officeDocument/2006/relationships/hyperlink" Target="http://office.microsoft.com/client/15/help/preview?AssetId=HA102752976&amp;lcid=1033&amp;NS=EXCEL&amp;Version=15&amp;tl=2&amp;CTT=5&amp;origin=HA102752955" TargetMode="External"/><Relationship Id="rId380" Type="http://schemas.openxmlformats.org/officeDocument/2006/relationships/hyperlink" Target="http://office.microsoft.com/client/15/help/preview?AssetId=HA102753146&amp;lcid=1033&amp;NS=EXCEL&amp;Version=15&amp;tl=2&amp;CTT=5&amp;origin=HA102752955" TargetMode="External"/><Relationship Id="rId415" Type="http://schemas.openxmlformats.org/officeDocument/2006/relationships/hyperlink" Target="http://office.microsoft.com/client/15/help/preview?AssetId=HA102752830&amp;lcid=1033&amp;NS=EXCEL&amp;Version=15&amp;tl=2&amp;CTT=5&amp;origin=HA102752955" TargetMode="External"/><Relationship Id="rId436" Type="http://schemas.openxmlformats.org/officeDocument/2006/relationships/hyperlink" Target="http://office.microsoft.com/client/15/help/preview?AssetId=HA102752937&amp;lcid=1033&amp;NS=EXCEL&amp;Version=15&amp;tl=2&amp;CTT=5&amp;origin=HA102752955" TargetMode="External"/><Relationship Id="rId457" Type="http://schemas.openxmlformats.org/officeDocument/2006/relationships/hyperlink" Target="http://office.microsoft.com/client/15/help/preview?AssetId=HA102781000&amp;lcid=1033&amp;NS=EXCEL&amp;Version=15&amp;tl=2&amp;CTT=5&amp;origin=HA102752955" TargetMode="External"/><Relationship Id="rId240" Type="http://schemas.openxmlformats.org/officeDocument/2006/relationships/hyperlink" Target="http://office.microsoft.com/client/15/help/preview?AssetId=HA102753125&amp;lcid=1033&amp;NS=EXCEL&amp;Version=15&amp;tl=2&amp;CTT=5&amp;origin=HA102752955" TargetMode="External"/><Relationship Id="rId261" Type="http://schemas.openxmlformats.org/officeDocument/2006/relationships/hyperlink" Target="http://office.microsoft.com/client/15/help/preview?AssetId=HA102753262&amp;lcid=1033&amp;NS=EXCEL&amp;Version=15&amp;tl=2&amp;CTT=5&amp;origin=HA102752955" TargetMode="External"/><Relationship Id="rId14" Type="http://schemas.openxmlformats.org/officeDocument/2006/relationships/hyperlink" Target="http://office.microsoft.com/client/15/help/preview?AssetId=HA102753194&amp;lcid=1033&amp;NS=EXCEL&amp;Version=15&amp;tl=2&amp;CTT=5&amp;origin=HA102752955" TargetMode="External"/><Relationship Id="rId35" Type="http://schemas.openxmlformats.org/officeDocument/2006/relationships/hyperlink" Target="http://office.microsoft.com/client/15/help/preview?AssetId=HA102753172&amp;lcid=1033&amp;NS=EXCEL&amp;Version=15&amp;tl=2&amp;CTT=5&amp;origin=HA102752955" TargetMode="External"/><Relationship Id="rId56" Type="http://schemas.openxmlformats.org/officeDocument/2006/relationships/hyperlink" Target="http://office.microsoft.com/client/15/help/preview?AssetId=HA102753038&amp;lcid=1033&amp;NS=EXCEL&amp;Version=15&amp;tl=2&amp;CTT=5&amp;origin=HA102752955" TargetMode="External"/><Relationship Id="rId77" Type="http://schemas.openxmlformats.org/officeDocument/2006/relationships/hyperlink" Target="http://office.microsoft.com/client/15/help/preview?AssetId=HA102752818&amp;lcid=1033&amp;NS=EXCEL&amp;Version=15&amp;tl=2&amp;CTT=5&amp;origin=HA102752955" TargetMode="External"/><Relationship Id="rId100" Type="http://schemas.openxmlformats.org/officeDocument/2006/relationships/hyperlink" Target="http://office.microsoft.com/client/15/help/preview?AssetId=HA102753031&amp;lcid=1033&amp;NS=EXCEL&amp;Version=15&amp;tl=2&amp;CTT=5&amp;origin=HA102752955" TargetMode="External"/><Relationship Id="rId282" Type="http://schemas.openxmlformats.org/officeDocument/2006/relationships/hyperlink" Target="http://office.microsoft.com/client/15/help/preview?AssetId=HA102752930&amp;lcid=1033&amp;NS=EXCEL&amp;Version=15&amp;tl=2&amp;CTT=5&amp;origin=HA102752955" TargetMode="External"/><Relationship Id="rId317" Type="http://schemas.openxmlformats.org/officeDocument/2006/relationships/hyperlink" Target="http://office.microsoft.com/client/15/help/preview?AssetId=HA102752828&amp;lcid=1033&amp;NS=EXCEL&amp;Version=15&amp;tl=2&amp;CTT=5&amp;origin=HA102752955" TargetMode="External"/><Relationship Id="rId338" Type="http://schemas.openxmlformats.org/officeDocument/2006/relationships/hyperlink" Target="http://office.microsoft.com/client/15/help/preview?AssetId=HA102753078&amp;lcid=1033&amp;NS=EXCEL&amp;Version=15&amp;tl=2&amp;CTT=5&amp;origin=HA102752955" TargetMode="External"/><Relationship Id="rId359" Type="http://schemas.openxmlformats.org/officeDocument/2006/relationships/hyperlink" Target="http://office.microsoft.com/client/15/help/preview?AssetId=HA102753278&amp;lcid=1033&amp;NS=EXCEL&amp;Version=15&amp;tl=2&amp;CTT=5&amp;origin=HA102752955" TargetMode="External"/><Relationship Id="rId8" Type="http://schemas.openxmlformats.org/officeDocument/2006/relationships/hyperlink" Target="http://office.microsoft.com/client/15/help/preview?AssetId=HA102753200&amp;lcid=1033&amp;NS=EXCEL&amp;Version=15&amp;tl=2&amp;CTT=5&amp;origin=HA102752955" TargetMode="External"/><Relationship Id="rId98" Type="http://schemas.openxmlformats.org/officeDocument/2006/relationships/hyperlink" Target="http://office.microsoft.com/client/15/help/preview?AssetId=HA102753054&amp;lcid=1033&amp;NS=EXCEL&amp;Version=15&amp;tl=2&amp;CTT=5&amp;origin=HA102752955" TargetMode="External"/><Relationship Id="rId121" Type="http://schemas.openxmlformats.org/officeDocument/2006/relationships/hyperlink" Target="http://office.microsoft.com/client/15/help/preview?AssetId=HA102752984&amp;lcid=1033&amp;NS=EXCEL&amp;Version=15&amp;tl=2&amp;CTT=5&amp;origin=HA102752955" TargetMode="External"/><Relationship Id="rId142" Type="http://schemas.openxmlformats.org/officeDocument/2006/relationships/hyperlink" Target="http://office.microsoft.com/client/15/help/preview?AssetId=HA102753074&amp;lcid=1033&amp;NS=EXCEL&amp;Version=15&amp;tl=2&amp;CTT=5&amp;origin=HA102752955" TargetMode="External"/><Relationship Id="rId163" Type="http://schemas.openxmlformats.org/officeDocument/2006/relationships/hyperlink" Target="http://office.microsoft.com/client/15/help/preview?AssetId=HA102753459&amp;lcid=1033&amp;NS=EXCEL&amp;Version=15&amp;tl=2&amp;CTT=5&amp;origin=HA102752955" TargetMode="External"/><Relationship Id="rId184" Type="http://schemas.openxmlformats.org/officeDocument/2006/relationships/hyperlink" Target="http://office.microsoft.com/client/15/help/preview?AssetId=HA102752841&amp;lcid=1033&amp;NS=EXCEL&amp;Version=15&amp;tl=2&amp;CTT=5&amp;origin=HA102752955" TargetMode="External"/><Relationship Id="rId219" Type="http://schemas.openxmlformats.org/officeDocument/2006/relationships/hyperlink" Target="http://office.microsoft.com/client/15/help/preview?AssetId=HA102753272&amp;lcid=1033&amp;NS=EXCEL&amp;Version=15&amp;tl=2&amp;CTT=5&amp;origin=HA102752955" TargetMode="External"/><Relationship Id="rId370" Type="http://schemas.openxmlformats.org/officeDocument/2006/relationships/hyperlink" Target="http://office.microsoft.com/client/15/help/preview?AssetId=HA102752808&amp;lcid=1033&amp;NS=EXCEL&amp;Version=15&amp;tl=2&amp;CTT=5&amp;origin=HA102752955" TargetMode="External"/><Relationship Id="rId391" Type="http://schemas.openxmlformats.org/officeDocument/2006/relationships/hyperlink" Target="http://office.microsoft.com/client/15/help/preview?AssetId=HA102753141&amp;lcid=1033&amp;NS=EXCEL&amp;Version=15&amp;tl=2&amp;CTT=5&amp;origin=HA102752955" TargetMode="External"/><Relationship Id="rId405" Type="http://schemas.openxmlformats.org/officeDocument/2006/relationships/hyperlink" Target="http://office.microsoft.com/client/15/help/preview?AssetId=HA102752860&amp;lcid=1033&amp;NS=EXCEL&amp;Version=15&amp;tl=2&amp;CTT=5&amp;origin=HA102752955" TargetMode="External"/><Relationship Id="rId426" Type="http://schemas.openxmlformats.org/officeDocument/2006/relationships/hyperlink" Target="http://office.microsoft.com/client/15/help/preview?AssetId=HA102753092&amp;lcid=1033&amp;NS=EXCEL&amp;Version=15&amp;tl=2&amp;CTT=5&amp;origin=HA102752955" TargetMode="External"/><Relationship Id="rId447" Type="http://schemas.openxmlformats.org/officeDocument/2006/relationships/hyperlink" Target="http://office.microsoft.com/client/15/help/preview?AssetId=HA102752831&amp;lcid=1033&amp;NS=EXCEL&amp;Version=15&amp;tl=2&amp;CTT=5&amp;origin=HA102752955" TargetMode="External"/><Relationship Id="rId230" Type="http://schemas.openxmlformats.org/officeDocument/2006/relationships/hyperlink" Target="http://office.microsoft.com/client/15/help/preview?AssetId=HA102752975&amp;lcid=1033&amp;NS=EXCEL&amp;Version=15&amp;tl=2&amp;CTT=5&amp;origin=HA102752955" TargetMode="External"/><Relationship Id="rId251" Type="http://schemas.openxmlformats.org/officeDocument/2006/relationships/hyperlink" Target="http://office.microsoft.com/client/15/help/preview?AssetId=HA102753259&amp;lcid=1033&amp;NS=EXCEL&amp;Version=15&amp;tl=2&amp;CTT=5&amp;origin=HA102752955" TargetMode="External"/><Relationship Id="rId25" Type="http://schemas.openxmlformats.org/officeDocument/2006/relationships/hyperlink" Target="http://office.microsoft.com/client/15/help/preview?AssetId=HA102753182&amp;lcid=1033&amp;NS=EXCEL&amp;Version=15&amp;tl=2&amp;CTT=5&amp;origin=HA102752955" TargetMode="External"/><Relationship Id="rId46" Type="http://schemas.openxmlformats.org/officeDocument/2006/relationships/hyperlink" Target="http://office.microsoft.com/client/15/help/preview?AssetId=HA102753064&amp;lcid=1033&amp;NS=EXCEL&amp;Version=15&amp;tl=2&amp;CTT=5&amp;origin=HA102752955" TargetMode="External"/><Relationship Id="rId67" Type="http://schemas.openxmlformats.org/officeDocument/2006/relationships/hyperlink" Target="http://office.microsoft.com/client/15/help/preview?AssetId=HA102752934&amp;lcid=1033&amp;NS=EXCEL&amp;Version=15&amp;tl=2&amp;CTT=5&amp;origin=HA102752955" TargetMode="External"/><Relationship Id="rId272" Type="http://schemas.openxmlformats.org/officeDocument/2006/relationships/hyperlink" Target="http://office.microsoft.com/client/15/help/preview?AssetId=HA102753007&amp;lcid=1033&amp;NS=EXCEL&amp;Version=15&amp;tl=2&amp;CTT=5&amp;origin=HA102752955" TargetMode="External"/><Relationship Id="rId293" Type="http://schemas.openxmlformats.org/officeDocument/2006/relationships/hyperlink" Target="http://office.microsoft.com/client/15/help/preview?AssetId=HA102752890&amp;lcid=1033&amp;NS=EXCEL&amp;Version=15&amp;tl=2&amp;CTT=5&amp;origin=HA102752955" TargetMode="External"/><Relationship Id="rId307" Type="http://schemas.openxmlformats.org/officeDocument/2006/relationships/hyperlink" Target="http://office.microsoft.com/client/15/help/preview?AssetId=HA102752855&amp;lcid=1033&amp;NS=EXCEL&amp;Version=15&amp;tl=2&amp;CTT=5&amp;origin=HA102752955" TargetMode="External"/><Relationship Id="rId328" Type="http://schemas.openxmlformats.org/officeDocument/2006/relationships/hyperlink" Target="http://office.microsoft.com/client/15/help/preview?AssetId=HA102753247&amp;lcid=1033&amp;NS=EXCEL&amp;Version=15&amp;tl=2&amp;CTT=5&amp;origin=HA102752955" TargetMode="External"/><Relationship Id="rId349" Type="http://schemas.openxmlformats.org/officeDocument/2006/relationships/hyperlink" Target="http://office.microsoft.com/client/15/help/preview?AssetId=HA102753156&amp;lcid=1033&amp;NS=EXCEL&amp;Version=15&amp;tl=2&amp;CTT=5&amp;origin=HA102752955" TargetMode="External"/><Relationship Id="rId88" Type="http://schemas.openxmlformats.org/officeDocument/2006/relationships/hyperlink" Target="http://office.microsoft.com/client/15/help/preview?AssetId=HA102753099&amp;lcid=1033&amp;NS=EXCEL&amp;Version=15&amp;tl=2&amp;CTT=5&amp;origin=HA102752955" TargetMode="External"/><Relationship Id="rId111" Type="http://schemas.openxmlformats.org/officeDocument/2006/relationships/hyperlink" Target="http://office.microsoft.com/client/15/help/preview?AssetId=HA102752990&amp;lcid=1033&amp;NS=EXCEL&amp;Version=15&amp;tl=2&amp;CTT=5&amp;origin=HA102752955" TargetMode="External"/><Relationship Id="rId132" Type="http://schemas.openxmlformats.org/officeDocument/2006/relationships/hyperlink" Target="http://office.microsoft.com/client/15/help/preview?AssetId=HA102753286&amp;lcid=1033&amp;NS=EXCEL&amp;Version=15&amp;tl=2&amp;CTT=5&amp;origin=HA102752955" TargetMode="External"/><Relationship Id="rId153" Type="http://schemas.openxmlformats.org/officeDocument/2006/relationships/hyperlink" Target="http://office.microsoft.com/client/15/help/preview?AssetId=HA102753039&amp;lcid=1033&amp;NS=EXCEL&amp;Version=15&amp;tl=2&amp;CTT=5&amp;origin=HA102752955" TargetMode="External"/><Relationship Id="rId174" Type="http://schemas.openxmlformats.org/officeDocument/2006/relationships/hyperlink" Target="http://office.microsoft.com/client/15/help/preview?AssetId=HA102752899&amp;lcid=1033&amp;NS=EXCEL&amp;Version=15&amp;tl=2&amp;CTT=5&amp;origin=HA102752955" TargetMode="External"/><Relationship Id="rId195" Type="http://schemas.openxmlformats.org/officeDocument/2006/relationships/hyperlink" Target="http://office.microsoft.com/client/15/help/preview?AssetId=HA102752966&amp;lcid=1033&amp;NS=EXCEL&amp;Version=15&amp;tl=2&amp;CTT=5&amp;origin=HA102752955" TargetMode="External"/><Relationship Id="rId209" Type="http://schemas.openxmlformats.org/officeDocument/2006/relationships/hyperlink" Target="http://office.microsoft.com/client/15/help/preview?AssetId=HA102753271&amp;lcid=1033&amp;NS=EXCEL&amp;Version=15&amp;tl=2&amp;CTT=5&amp;origin=HA102752955" TargetMode="External"/><Relationship Id="rId360" Type="http://schemas.openxmlformats.org/officeDocument/2006/relationships/hyperlink" Target="http://office.microsoft.com/client/15/help/preview?AssetId=HA102753006&amp;lcid=1033&amp;NS=EXCEL&amp;Version=15&amp;tl=2&amp;CTT=5&amp;origin=HA102752955" TargetMode="External"/><Relationship Id="rId381" Type="http://schemas.openxmlformats.org/officeDocument/2006/relationships/hyperlink" Target="http://office.microsoft.com/client/15/help/preview?AssetId=HA102753145&amp;lcid=1033&amp;NS=EXCEL&amp;Version=15&amp;tl=2&amp;CTT=5&amp;origin=HA102752955" TargetMode="External"/><Relationship Id="rId416" Type="http://schemas.openxmlformats.org/officeDocument/2006/relationships/hyperlink" Target="http://office.microsoft.com/client/15/help/preview?AssetId=HA102753133&amp;lcid=1033&amp;NS=EXCEL&amp;Version=15&amp;tl=2&amp;CTT=5&amp;origin=HA102752955" TargetMode="External"/><Relationship Id="rId220" Type="http://schemas.openxmlformats.org/officeDocument/2006/relationships/hyperlink" Target="http://office.microsoft.com/client/15/help/preview?AssetId=HA102753122&amp;lcid=1033&amp;NS=EXCEL&amp;Version=15&amp;tl=2&amp;CTT=5&amp;origin=HA102752955" TargetMode="External"/><Relationship Id="rId241" Type="http://schemas.openxmlformats.org/officeDocument/2006/relationships/hyperlink" Target="http://office.microsoft.com/client/15/help/preview?AssetId=HA102753124&amp;lcid=1033&amp;NS=EXCEL&amp;Version=15&amp;tl=2&amp;CTT=5&amp;origin=HA102752955" TargetMode="External"/><Relationship Id="rId437" Type="http://schemas.openxmlformats.org/officeDocument/2006/relationships/hyperlink" Target="http://office.microsoft.com/client/15/help/preview?AssetId=HA102753294&amp;lcid=1033&amp;NS=EXCEL&amp;Version=15&amp;tl=2&amp;CTT=5&amp;origin=HA102752955" TargetMode="External"/><Relationship Id="rId458" Type="http://schemas.openxmlformats.org/officeDocument/2006/relationships/hyperlink" Target="http://office.microsoft.com/client/15/help/preview?AssetId=HA102780998&amp;lcid=1033&amp;NS=EXCEL&amp;Version=15&amp;tl=2&amp;CTT=5&amp;origin=HA102752955" TargetMode="External"/><Relationship Id="rId15" Type="http://schemas.openxmlformats.org/officeDocument/2006/relationships/hyperlink" Target="http://office.microsoft.com/client/15/help/preview?AssetId=HA102753193&amp;lcid=1033&amp;NS=EXCEL&amp;Version=15&amp;tl=2&amp;CTT=5&amp;origin=HA102752955" TargetMode="External"/><Relationship Id="rId36" Type="http://schemas.openxmlformats.org/officeDocument/2006/relationships/hyperlink" Target="http://office.microsoft.com/client/15/help/preview?AssetId=HA102753171&amp;lcid=1033&amp;NS=EXCEL&amp;Version=15&amp;tl=2&amp;CTT=5&amp;origin=HA102752955" TargetMode="External"/><Relationship Id="rId57" Type="http://schemas.openxmlformats.org/officeDocument/2006/relationships/hyperlink" Target="http://office.microsoft.com/client/15/help/preview?AssetId=HA102753037&amp;lcid=1033&amp;NS=EXCEL&amp;Version=15&amp;tl=2&amp;CTT=5&amp;origin=HA102752955" TargetMode="External"/><Relationship Id="rId262" Type="http://schemas.openxmlformats.org/officeDocument/2006/relationships/hyperlink" Target="http://office.microsoft.com/client/15/help/preview?AssetId=HA102753263&amp;lcid=1033&amp;NS=EXCEL&amp;Version=15&amp;tl=2&amp;CTT=5&amp;origin=HA102752955" TargetMode="External"/><Relationship Id="rId283" Type="http://schemas.openxmlformats.org/officeDocument/2006/relationships/hyperlink" Target="http://office.microsoft.com/client/15/help/preview?AssetId=HA102752928&amp;lcid=1033&amp;NS=EXCEL&amp;Version=15&amp;tl=2&amp;CTT=5&amp;origin=HA102752955" TargetMode="External"/><Relationship Id="rId318" Type="http://schemas.openxmlformats.org/officeDocument/2006/relationships/hyperlink" Target="http://office.microsoft.com/client/15/help/preview?AssetId=HA102753109&amp;lcid=1033&amp;NS=EXCEL&amp;Version=15&amp;tl=2&amp;CTT=5&amp;origin=HA102752955" TargetMode="External"/><Relationship Id="rId339" Type="http://schemas.openxmlformats.org/officeDocument/2006/relationships/hyperlink" Target="http://office.microsoft.com/client/15/help/preview?AssetId=HA102753077&amp;lcid=1033&amp;NS=EXCEL&amp;Version=15&amp;tl=2&amp;CTT=5&amp;origin=HA102752955" TargetMode="External"/><Relationship Id="rId78" Type="http://schemas.openxmlformats.org/officeDocument/2006/relationships/hyperlink" Target="http://office.microsoft.com/client/15/help/preview?AssetId=HA102752817&amp;lcid=1033&amp;NS=EXCEL&amp;Version=15&amp;tl=2&amp;CTT=5&amp;origin=HA102752955" TargetMode="External"/><Relationship Id="rId99" Type="http://schemas.openxmlformats.org/officeDocument/2006/relationships/hyperlink" Target="http://office.microsoft.com/client/15/help/preview?AssetId=HA102753052&amp;lcid=1033&amp;NS=EXCEL&amp;Version=15&amp;tl=2&amp;CTT=5&amp;origin=HA102752955" TargetMode="External"/><Relationship Id="rId101" Type="http://schemas.openxmlformats.org/officeDocument/2006/relationships/hyperlink" Target="http://office.microsoft.com/client/15/help/preview?AssetId=HA102752807&amp;lcid=1033&amp;NS=EXCEL&amp;Version=15&amp;tl=2&amp;CTT=5&amp;origin=HA102752955" TargetMode="External"/><Relationship Id="rId122" Type="http://schemas.openxmlformats.org/officeDocument/2006/relationships/hyperlink" Target="http://office.microsoft.com/client/15/help/preview?AssetId=HA102752983&amp;lcid=1033&amp;NS=EXCEL&amp;Version=15&amp;tl=2&amp;CTT=5&amp;origin=HA102752955" TargetMode="External"/><Relationship Id="rId143" Type="http://schemas.openxmlformats.org/officeDocument/2006/relationships/hyperlink" Target="http://office.microsoft.com/client/15/help/preview?AssetId=HA102753073&amp;lcid=1033&amp;NS=EXCEL&amp;Version=15&amp;tl=2&amp;CTT=5&amp;origin=HA102752955" TargetMode="External"/><Relationship Id="rId164" Type="http://schemas.openxmlformats.org/officeDocument/2006/relationships/hyperlink" Target="http://office.microsoft.com/client/15/help/preview?AssetId=HA102752920&amp;lcid=1033&amp;NS=EXCEL&amp;Version=15&amp;tl=2&amp;CTT=5&amp;origin=HA102752955" TargetMode="External"/><Relationship Id="rId185" Type="http://schemas.openxmlformats.org/officeDocument/2006/relationships/hyperlink" Target="http://office.microsoft.com/client/15/help/preview?AssetId=HA102752821&amp;lcid=1033&amp;NS=EXCEL&amp;Version=15&amp;tl=2&amp;CTT=5&amp;origin=HA102752955" TargetMode="External"/><Relationship Id="rId350" Type="http://schemas.openxmlformats.org/officeDocument/2006/relationships/hyperlink" Target="http://office.microsoft.com/client/15/help/preview?AssetId=HA102753016&amp;lcid=1033&amp;NS=EXCEL&amp;Version=15&amp;tl=2&amp;CTT=5&amp;origin=HA102752955" TargetMode="External"/><Relationship Id="rId371" Type="http://schemas.openxmlformats.org/officeDocument/2006/relationships/hyperlink" Target="http://office.microsoft.com/client/15/help/preview?AssetId=HA102752943&amp;lcid=1033&amp;NS=EXCEL&amp;Version=15&amp;tl=2&amp;CTT=5&amp;origin=HA102752955" TargetMode="External"/><Relationship Id="rId406" Type="http://schemas.openxmlformats.org/officeDocument/2006/relationships/hyperlink" Target="http://office.microsoft.com/client/15/help/preview?AssetId=HA102752859&amp;lcid=1033&amp;NS=EXCEL&amp;Version=15&amp;tl=2&amp;CTT=5&amp;origin=HA102752955" TargetMode="External"/><Relationship Id="rId9" Type="http://schemas.openxmlformats.org/officeDocument/2006/relationships/hyperlink" Target="http://office.microsoft.com/client/15/help/preview?AssetId=HA102753199&amp;lcid=1033&amp;NS=EXCEL&amp;Version=15&amp;tl=2&amp;CTT=5&amp;origin=HA102752955" TargetMode="External"/><Relationship Id="rId210" Type="http://schemas.openxmlformats.org/officeDocument/2006/relationships/hyperlink" Target="http://office.microsoft.com/client/15/help/preview?AssetId=HA102752827&amp;lcid=1033&amp;NS=EXCEL&amp;Version=15&amp;tl=2&amp;CTT=5&amp;origin=HA102752955" TargetMode="External"/><Relationship Id="rId392" Type="http://schemas.openxmlformats.org/officeDocument/2006/relationships/hyperlink" Target="http://office.microsoft.com/client/15/help/preview?AssetId=HA102752897&amp;lcid=1033&amp;NS=EXCEL&amp;Version=15&amp;tl=2&amp;CTT=5&amp;origin=HA102752955" TargetMode="External"/><Relationship Id="rId427" Type="http://schemas.openxmlformats.org/officeDocument/2006/relationships/hyperlink" Target="http://office.microsoft.com/client/15/help/preview?AssetId=HA102753085&amp;lcid=1033&amp;NS=EXCEL&amp;Version=15&amp;tl=2&amp;CTT=5&amp;origin=HA102752955" TargetMode="External"/><Relationship Id="rId448" Type="http://schemas.openxmlformats.org/officeDocument/2006/relationships/hyperlink" Target="http://office.microsoft.com/client/15/help/preview?AssetId=HA102753273&amp;lcid=1033&amp;NS=EXCEL&amp;Version=15&amp;tl=2&amp;CTT=5&amp;origin=HA102752955" TargetMode="External"/><Relationship Id="rId26" Type="http://schemas.openxmlformats.org/officeDocument/2006/relationships/hyperlink" Target="http://office.microsoft.com/client/15/help/preview?AssetId=HA102753181&amp;lcid=1033&amp;NS=EXCEL&amp;Version=15&amp;tl=2&amp;CTT=5&amp;origin=HA102752955" TargetMode="External"/><Relationship Id="rId231" Type="http://schemas.openxmlformats.org/officeDocument/2006/relationships/hyperlink" Target="http://office.microsoft.com/client/15/help/preview?AssetId=HA102752947&amp;lcid=1033&amp;NS=EXCEL&amp;Version=15&amp;tl=2&amp;CTT=5&amp;origin=HA102752955" TargetMode="External"/><Relationship Id="rId252" Type="http://schemas.openxmlformats.org/officeDocument/2006/relationships/hyperlink" Target="http://office.microsoft.com/client/15/help/preview?AssetId=HA102753097&amp;lcid=1033&amp;NS=EXCEL&amp;Version=15&amp;tl=2&amp;CTT=5&amp;origin=HA102752955" TargetMode="External"/><Relationship Id="rId273" Type="http://schemas.openxmlformats.org/officeDocument/2006/relationships/hyperlink" Target="http://office.microsoft.com/client/15/help/preview?AssetId=HA102752972&amp;lcid=1033&amp;NS=EXCEL&amp;Version=15&amp;tl=2&amp;CTT=5&amp;origin=HA102752955" TargetMode="External"/><Relationship Id="rId294" Type="http://schemas.openxmlformats.org/officeDocument/2006/relationships/hyperlink" Target="http://office.microsoft.com/client/15/help/preview?AssetId=HA102752883&amp;lcid=1033&amp;NS=EXCEL&amp;Version=15&amp;tl=2&amp;CTT=5&amp;origin=HA102752955" TargetMode="External"/><Relationship Id="rId308" Type="http://schemas.openxmlformats.org/officeDocument/2006/relationships/hyperlink" Target="http://office.microsoft.com/client/15/help/preview?AssetId=HA102752854&amp;lcid=1033&amp;NS=EXCEL&amp;Version=15&amp;tl=2&amp;CTT=5&amp;origin=HA102752955" TargetMode="External"/><Relationship Id="rId329" Type="http://schemas.openxmlformats.org/officeDocument/2006/relationships/hyperlink" Target="http://office.microsoft.com/client/15/help/preview?AssetId=HA102753165&amp;lcid=1033&amp;NS=EXCEL&amp;Version=15&amp;tl=2&amp;CTT=5&amp;origin=HA102752955" TargetMode="External"/><Relationship Id="rId47" Type="http://schemas.openxmlformats.org/officeDocument/2006/relationships/hyperlink" Target="http://office.microsoft.com/client/15/help/preview?AssetId=HA102753060&amp;lcid=1033&amp;NS=EXCEL&amp;Version=15&amp;tl=2&amp;CTT=5&amp;origin=HA102752955" TargetMode="External"/><Relationship Id="rId68" Type="http://schemas.openxmlformats.org/officeDocument/2006/relationships/hyperlink" Target="http://office.microsoft.com/client/15/help/preview?AssetId=HA102752929&amp;lcid=1033&amp;NS=EXCEL&amp;Version=15&amp;tl=2&amp;CTT=5&amp;origin=HA102752955" TargetMode="External"/><Relationship Id="rId89" Type="http://schemas.openxmlformats.org/officeDocument/2006/relationships/hyperlink" Target="http://office.microsoft.com/client/15/help/preview?AssetId=HA102753251&amp;lcid=1033&amp;NS=EXCEL&amp;Version=15&amp;tl=2&amp;CTT=5&amp;origin=HA102752955" TargetMode="External"/><Relationship Id="rId112" Type="http://schemas.openxmlformats.org/officeDocument/2006/relationships/hyperlink" Target="http://office.microsoft.com/client/15/help/preview?AssetId=HA102752989&amp;lcid=1033&amp;NS=EXCEL&amp;Version=15&amp;tl=2&amp;CTT=5&amp;origin=HA102752955" TargetMode="External"/><Relationship Id="rId133" Type="http://schemas.openxmlformats.org/officeDocument/2006/relationships/hyperlink" Target="http://office.microsoft.com/client/15/help/preview?AssetId=HA102752918&amp;lcid=1033&amp;NS=EXCEL&amp;Version=15&amp;tl=2&amp;CTT=5&amp;origin=HA102752955" TargetMode="External"/><Relationship Id="rId154" Type="http://schemas.openxmlformats.org/officeDocument/2006/relationships/hyperlink" Target="http://office.microsoft.com/client/15/help/preview?AssetId=HA102753034&amp;lcid=1033&amp;NS=EXCEL&amp;Version=15&amp;tl=2&amp;CTT=5&amp;origin=HA102752955" TargetMode="External"/><Relationship Id="rId175" Type="http://schemas.openxmlformats.org/officeDocument/2006/relationships/hyperlink" Target="http://office.microsoft.com/client/15/help/preview?AssetId=HA102752898&amp;lcid=1033&amp;NS=EXCEL&amp;Version=15&amp;tl=2&amp;CTT=5&amp;origin=HA102752955" TargetMode="External"/><Relationship Id="rId340" Type="http://schemas.openxmlformats.org/officeDocument/2006/relationships/hyperlink" Target="http://office.microsoft.com/client/15/help/preview?AssetId=HA102753238&amp;lcid=1033&amp;NS=EXCEL&amp;Version=15&amp;tl=2&amp;CTT=5&amp;origin=HA102752955" TargetMode="External"/><Relationship Id="rId361" Type="http://schemas.openxmlformats.org/officeDocument/2006/relationships/hyperlink" Target="http://office.microsoft.com/client/15/help/preview?AssetId=HA102753003&amp;lcid=1033&amp;NS=EXCEL&amp;Version=15&amp;tl=2&amp;CTT=5&amp;origin=HA102752955" TargetMode="External"/><Relationship Id="rId196" Type="http://schemas.openxmlformats.org/officeDocument/2006/relationships/hyperlink" Target="http://office.microsoft.com/client/15/help/preview?AssetId=HA102752966&amp;lcid=1033&amp;NS=EXCEL&amp;Version=15&amp;tl=2&amp;CTT=5&amp;origin=HA102752955" TargetMode="External"/><Relationship Id="rId200" Type="http://schemas.openxmlformats.org/officeDocument/2006/relationships/hyperlink" Target="http://office.microsoft.com/client/15/help/preview?AssetId=HA102752966&amp;lcid=1033&amp;NS=EXCEL&amp;Version=15&amp;tl=2&amp;CTT=5&amp;origin=HA102752955" TargetMode="External"/><Relationship Id="rId382" Type="http://schemas.openxmlformats.org/officeDocument/2006/relationships/hyperlink" Target="http://office.microsoft.com/client/15/help/preview?AssetId=HA102753144&amp;lcid=1033&amp;NS=EXCEL&amp;Version=15&amp;tl=2&amp;CTT=5&amp;origin=HA102752955" TargetMode="External"/><Relationship Id="rId417" Type="http://schemas.openxmlformats.org/officeDocument/2006/relationships/hyperlink" Target="http://office.microsoft.com/client/15/help/preview?AssetId=HA102753134&amp;lcid=1033&amp;NS=EXCEL&amp;Version=15&amp;tl=2&amp;CTT=5&amp;origin=HA102752955" TargetMode="External"/><Relationship Id="rId438" Type="http://schemas.openxmlformats.org/officeDocument/2006/relationships/hyperlink" Target="http://office.microsoft.com/client/15/help/preview?AssetId=HA102752905&amp;lcid=1033&amp;NS=EXCEL&amp;Version=15&amp;tl=2&amp;CTT=5&amp;origin=HA102752955" TargetMode="External"/><Relationship Id="rId459" Type="http://schemas.openxmlformats.org/officeDocument/2006/relationships/drawing" Target="../drawings/drawing1.xml"/><Relationship Id="rId16" Type="http://schemas.openxmlformats.org/officeDocument/2006/relationships/hyperlink" Target="http://office.microsoft.com/client/15/help/preview?AssetId=HA102753192&amp;lcid=1033&amp;NS=EXCEL&amp;Version=15&amp;tl=2&amp;CTT=5&amp;origin=HA102752955" TargetMode="External"/><Relationship Id="rId221" Type="http://schemas.openxmlformats.org/officeDocument/2006/relationships/hyperlink" Target="http://office.microsoft.com/client/15/help/preview?AssetId=HA102753117&amp;lcid=1033&amp;NS=EXCEL&amp;Version=15&amp;tl=2&amp;CTT=5&amp;origin=HA102752955" TargetMode="External"/><Relationship Id="rId242" Type="http://schemas.openxmlformats.org/officeDocument/2006/relationships/hyperlink" Target="http://office.microsoft.com/client/15/help/preview?AssetId=HA102753256&amp;lcid=1033&amp;NS=EXCEL&amp;Version=15&amp;tl=2&amp;CTT=5&amp;origin=HA102752955" TargetMode="External"/><Relationship Id="rId263" Type="http://schemas.openxmlformats.org/officeDocument/2006/relationships/hyperlink" Target="http://office.microsoft.com/client/15/help/preview?AssetId=HA102753276&amp;lcid=1033&amp;NS=EXCEL&amp;Version=15&amp;tl=2&amp;CTT=5&amp;origin=HA102752955" TargetMode="External"/><Relationship Id="rId284" Type="http://schemas.openxmlformats.org/officeDocument/2006/relationships/hyperlink" Target="http://office.microsoft.com/client/15/help/preview?AssetId=HA102752927&amp;lcid=1033&amp;NS=EXCEL&amp;Version=15&amp;tl=2&amp;CTT=5&amp;origin=HA102752955" TargetMode="External"/><Relationship Id="rId319" Type="http://schemas.openxmlformats.org/officeDocument/2006/relationships/hyperlink" Target="http://office.microsoft.com/client/15/help/preview?AssetId=HA102753108&amp;lcid=1033&amp;NS=EXCEL&amp;Version=15&amp;tl=2&amp;CTT=5&amp;origin=HA102752955" TargetMode="External"/><Relationship Id="rId37" Type="http://schemas.openxmlformats.org/officeDocument/2006/relationships/hyperlink" Target="http://office.microsoft.com/client/15/help/preview?AssetId=HA102753170&amp;lcid=1033&amp;NS=EXCEL&amp;Version=15&amp;tl=2&amp;CTT=5&amp;origin=HA102752955" TargetMode="External"/><Relationship Id="rId58" Type="http://schemas.openxmlformats.org/officeDocument/2006/relationships/hyperlink" Target="http://office.microsoft.com/client/15/help/preview?AssetId=HA102753066&amp;lcid=1033&amp;NS=EXCEL&amp;Version=15&amp;tl=2&amp;CTT=5&amp;origin=HA102752955" TargetMode="External"/><Relationship Id="rId79" Type="http://schemas.openxmlformats.org/officeDocument/2006/relationships/hyperlink" Target="http://office.microsoft.com/client/15/help/preview?AssetId=HA102753215&amp;lcid=1033&amp;NS=EXCEL&amp;Version=15&amp;tl=2&amp;CTT=5&amp;origin=HA102752955" TargetMode="External"/><Relationship Id="rId102" Type="http://schemas.openxmlformats.org/officeDocument/2006/relationships/hyperlink" Target="http://office.microsoft.com/client/15/help/preview?AssetId=HA102753030&amp;lcid=1033&amp;NS=EXCEL&amp;Version=15&amp;tl=2&amp;CTT=5&amp;origin=HA102752955" TargetMode="External"/><Relationship Id="rId123" Type="http://schemas.openxmlformats.org/officeDocument/2006/relationships/hyperlink" Target="http://office.microsoft.com/client/15/help/preview?AssetId=HA102752982&amp;lcid=1033&amp;NS=EXCEL&amp;Version=15&amp;tl=2&amp;CTT=5&amp;origin=HA102752955" TargetMode="External"/><Relationship Id="rId144" Type="http://schemas.openxmlformats.org/officeDocument/2006/relationships/hyperlink" Target="http://office.microsoft.com/client/15/help/preview?AssetId=HA102753072&amp;lcid=1033&amp;NS=EXCEL&amp;Version=15&amp;tl=2&amp;CTT=5&amp;origin=HA102752955" TargetMode="External"/><Relationship Id="rId330" Type="http://schemas.openxmlformats.org/officeDocument/2006/relationships/hyperlink" Target="http://office.microsoft.com/client/15/help/preview?AssetId=HA102753244&amp;lcid=1033&amp;NS=EXCEL&amp;Version=15&amp;tl=2&amp;CTT=5&amp;origin=HA102752955" TargetMode="External"/><Relationship Id="rId90" Type="http://schemas.openxmlformats.org/officeDocument/2006/relationships/hyperlink" Target="http://office.microsoft.com/client/15/help/preview?AssetId=HA102753252&amp;lcid=1033&amp;NS=EXCEL&amp;Version=15&amp;tl=2&amp;CTT=5&amp;origin=HA102752955" TargetMode="External"/><Relationship Id="rId165" Type="http://schemas.openxmlformats.org/officeDocument/2006/relationships/hyperlink" Target="http://office.microsoft.com/client/15/help/preview?AssetId=HA102752919&amp;lcid=1033&amp;NS=EXCEL&amp;Version=15&amp;tl=2&amp;CTT=5&amp;origin=HA102752955" TargetMode="External"/><Relationship Id="rId186" Type="http://schemas.openxmlformats.org/officeDocument/2006/relationships/hyperlink" Target="http://office.microsoft.com/client/15/help/preview?AssetId=HA102752816&amp;lcid=1033&amp;NS=EXCEL&amp;Version=15&amp;tl=2&amp;CTT=5&amp;origin=HA102752955" TargetMode="External"/><Relationship Id="rId351" Type="http://schemas.openxmlformats.org/officeDocument/2006/relationships/hyperlink" Target="http://office.microsoft.com/client/15/help/preview?AssetId=HA102753015&amp;lcid=1033&amp;NS=EXCEL&amp;Version=15&amp;tl=2&amp;CTT=5&amp;origin=HA102752955" TargetMode="External"/><Relationship Id="rId372" Type="http://schemas.openxmlformats.org/officeDocument/2006/relationships/hyperlink" Target="http://office.microsoft.com/client/15/help/preview?AssetId=HA102752941&amp;lcid=1033&amp;NS=EXCEL&amp;Version=15&amp;tl=2&amp;CTT=5&amp;origin=HA102752955" TargetMode="External"/><Relationship Id="rId393" Type="http://schemas.openxmlformats.org/officeDocument/2006/relationships/hyperlink" Target="http://office.microsoft.com/client/15/help/preview?AssetId=HA102753221&amp;lcid=1033&amp;NS=EXCEL&amp;Version=15&amp;tl=2&amp;CTT=5&amp;origin=HA102752955" TargetMode="External"/><Relationship Id="rId407" Type="http://schemas.openxmlformats.org/officeDocument/2006/relationships/hyperlink" Target="http://office.microsoft.com/client/15/help/preview?AssetId=HA102752858&amp;lcid=1033&amp;NS=EXCEL&amp;Version=15&amp;tl=2&amp;CTT=5&amp;origin=HA102752955" TargetMode="External"/><Relationship Id="rId428" Type="http://schemas.openxmlformats.org/officeDocument/2006/relationships/hyperlink" Target="http://office.microsoft.com/client/15/help/preview?AssetId=HA102752962&amp;lcid=1033&amp;NS=EXCEL&amp;Version=15&amp;tl=2&amp;CTT=5&amp;origin=HA102752955" TargetMode="External"/><Relationship Id="rId449" Type="http://schemas.openxmlformats.org/officeDocument/2006/relationships/hyperlink" Target="http://office.microsoft.com/client/15/help/preview?AssetId=HA102753274&amp;lcid=1033&amp;NS=EXCEL&amp;Version=15&amp;tl=2&amp;CTT=5&amp;origin=HA102752955" TargetMode="External"/><Relationship Id="rId211" Type="http://schemas.openxmlformats.org/officeDocument/2006/relationships/hyperlink" Target="http://office.microsoft.com/client/15/help/preview?AssetId=HA102753118&amp;lcid=1033&amp;NS=EXCEL&amp;Version=15&amp;tl=2&amp;CTT=5&amp;origin=HA102752955" TargetMode="External"/><Relationship Id="rId232" Type="http://schemas.openxmlformats.org/officeDocument/2006/relationships/hyperlink" Target="http://office.microsoft.com/client/15/help/preview?AssetId=HA102752945&amp;lcid=1033&amp;NS=EXCEL&amp;Version=15&amp;tl=2&amp;CTT=5&amp;origin=HA102752955" TargetMode="External"/><Relationship Id="rId253" Type="http://schemas.openxmlformats.org/officeDocument/2006/relationships/hyperlink" Target="http://office.microsoft.com/client/15/help/preview?AssetId=HA102753249&amp;lcid=1033&amp;NS=EXCEL&amp;Version=15&amp;tl=2&amp;CTT=5&amp;origin=HA102752955" TargetMode="External"/><Relationship Id="rId274" Type="http://schemas.openxmlformats.org/officeDocument/2006/relationships/hyperlink" Target="http://office.microsoft.com/client/15/help/preview?AssetId=HA102753214&amp;lcid=1033&amp;NS=EXCEL&amp;Version=15&amp;tl=2&amp;CTT=5&amp;origin=HA102752955" TargetMode="External"/><Relationship Id="rId295" Type="http://schemas.openxmlformats.org/officeDocument/2006/relationships/hyperlink" Target="http://office.microsoft.com/client/15/help/preview?AssetId=HA102752882&amp;lcid=1033&amp;NS=EXCEL&amp;Version=15&amp;tl=2&amp;CTT=5&amp;origin=HA102752955" TargetMode="External"/><Relationship Id="rId309" Type="http://schemas.openxmlformats.org/officeDocument/2006/relationships/hyperlink" Target="http://office.microsoft.com/client/15/help/preview?AssetId=HA102753226&amp;lcid=1033&amp;NS=EXCEL&amp;Version=15&amp;tl=2&amp;CTT=5&amp;origin=HA102752955" TargetMode="External"/><Relationship Id="rId27" Type="http://schemas.openxmlformats.org/officeDocument/2006/relationships/hyperlink" Target="http://office.microsoft.com/client/15/help/preview?AssetId=HA102753180&amp;lcid=1033&amp;NS=EXCEL&amp;Version=15&amp;tl=2&amp;CTT=5&amp;origin=HA102752955" TargetMode="External"/><Relationship Id="rId48" Type="http://schemas.openxmlformats.org/officeDocument/2006/relationships/hyperlink" Target="http://office.microsoft.com/client/15/help/preview?AssetId=HA102753059&amp;lcid=1033&amp;NS=EXCEL&amp;Version=15&amp;tl=2&amp;CTT=5&amp;origin=HA102752955" TargetMode="External"/><Relationship Id="rId69" Type="http://schemas.openxmlformats.org/officeDocument/2006/relationships/hyperlink" Target="http://office.microsoft.com/client/15/help/preview?AssetId=HA102752924&amp;lcid=1033&amp;NS=EXCEL&amp;Version=15&amp;tl=2&amp;CTT=5&amp;origin=HA102752955" TargetMode="External"/><Relationship Id="rId113" Type="http://schemas.openxmlformats.org/officeDocument/2006/relationships/hyperlink" Target="http://office.microsoft.com/client/15/help/preview?AssetId=HA102753282&amp;lcid=1033&amp;NS=EXCEL&amp;Version=15&amp;tl=2&amp;CTT=5&amp;origin=HA102752955" TargetMode="External"/><Relationship Id="rId134" Type="http://schemas.openxmlformats.org/officeDocument/2006/relationships/hyperlink" Target="http://office.microsoft.com/client/15/help/preview?AssetId=HA102752917&amp;lcid=1033&amp;NS=EXCEL&amp;Version=15&amp;tl=2&amp;CTT=5&amp;origin=HA102752955" TargetMode="External"/><Relationship Id="rId320" Type="http://schemas.openxmlformats.org/officeDocument/2006/relationships/hyperlink" Target="http://office.microsoft.com/client/15/help/preview?AssetId=HA102753107&amp;lcid=1033&amp;NS=EXCEL&amp;Version=15&amp;tl=2&amp;CTT=5&amp;origin=HA102752955" TargetMode="External"/><Relationship Id="rId80" Type="http://schemas.openxmlformats.org/officeDocument/2006/relationships/hyperlink" Target="http://office.microsoft.com/client/15/help/preview?AssetId=HA102752813&amp;lcid=1033&amp;NS=EXCEL&amp;Version=15&amp;tl=2&amp;CTT=5&amp;origin=HA102752955" TargetMode="External"/><Relationship Id="rId155" Type="http://schemas.openxmlformats.org/officeDocument/2006/relationships/hyperlink" Target="http://office.microsoft.com/client/15/help/preview?AssetId=HA102753010&amp;lcid=1033&amp;NS=EXCEL&amp;Version=15&amp;tl=2&amp;CTT=5&amp;origin=HA102752955" TargetMode="External"/><Relationship Id="rId176" Type="http://schemas.openxmlformats.org/officeDocument/2006/relationships/hyperlink" Target="http://office.microsoft.com/client/15/help/preview?AssetId=HA102752894&amp;lcid=1033&amp;NS=EXCEL&amp;Version=15&amp;tl=2&amp;CTT=5&amp;origin=HA102752955" TargetMode="External"/><Relationship Id="rId197" Type="http://schemas.openxmlformats.org/officeDocument/2006/relationships/hyperlink" Target="http://office.microsoft.com/client/15/help/preview?AssetId=HA102752965&amp;lcid=1033&amp;NS=EXCEL&amp;Version=15&amp;tl=2&amp;CTT=5&amp;origin=HA102752955" TargetMode="External"/><Relationship Id="rId341" Type="http://schemas.openxmlformats.org/officeDocument/2006/relationships/hyperlink" Target="http://office.microsoft.com/client/15/help/preview?AssetId=HA102753161&amp;lcid=1033&amp;NS=EXCEL&amp;Version=15&amp;tl=2&amp;CTT=5&amp;origin=HA102752955" TargetMode="External"/><Relationship Id="rId362" Type="http://schemas.openxmlformats.org/officeDocument/2006/relationships/hyperlink" Target="http://office.microsoft.com/client/15/help/preview?AssetId=HA102753002&amp;lcid=1033&amp;NS=EXCEL&amp;Version=15&amp;tl=2&amp;CTT=5&amp;origin=HA102752955" TargetMode="External"/><Relationship Id="rId383" Type="http://schemas.openxmlformats.org/officeDocument/2006/relationships/hyperlink" Target="http://office.microsoft.com/client/15/help/preview?AssetId=HA102752907&amp;lcid=1033&amp;NS=EXCEL&amp;Version=15&amp;tl=2&amp;CTT=5&amp;origin=HA102752955" TargetMode="External"/><Relationship Id="rId418" Type="http://schemas.openxmlformats.org/officeDocument/2006/relationships/hyperlink" Target="http://office.microsoft.com/client/15/help/preview?AssetId=HA102752823&amp;lcid=1033&amp;NS=EXCEL&amp;Version=15&amp;tl=2&amp;CTT=5&amp;origin=HA102752955" TargetMode="External"/><Relationship Id="rId439" Type="http://schemas.openxmlformats.org/officeDocument/2006/relationships/hyperlink" Target="http://office.microsoft.com/client/15/help/preview?AssetId=HA102752895&amp;lcid=1033&amp;NS=EXCEL&amp;Version=15&amp;tl=2&amp;CTT=5&amp;origin=HA102752955" TargetMode="External"/><Relationship Id="rId201" Type="http://schemas.openxmlformats.org/officeDocument/2006/relationships/hyperlink" Target="http://office.microsoft.com/client/15/help/preview?AssetId=HA102752966&amp;lcid=1033&amp;NS=EXCEL&amp;Version=15&amp;tl=2&amp;CTT=5&amp;origin=HA102752955" TargetMode="External"/><Relationship Id="rId222" Type="http://schemas.openxmlformats.org/officeDocument/2006/relationships/hyperlink" Target="http://office.microsoft.com/client/15/help/preview?AssetId=HA102753094&amp;lcid=1033&amp;NS=EXCEL&amp;Version=15&amp;tl=2&amp;CTT=5&amp;origin=HA102752955" TargetMode="External"/><Relationship Id="rId243" Type="http://schemas.openxmlformats.org/officeDocument/2006/relationships/hyperlink" Target="http://office.microsoft.com/client/15/help/preview?AssetId=HA102753257&amp;lcid=1033&amp;NS=EXCEL&amp;Version=15&amp;tl=2&amp;CTT=5&amp;origin=HA102752955" TargetMode="External"/><Relationship Id="rId264" Type="http://schemas.openxmlformats.org/officeDocument/2006/relationships/hyperlink" Target="http://office.microsoft.com/client/15/help/preview?AssetId=HA102753053&amp;lcid=1033&amp;NS=EXCEL&amp;Version=15&amp;tl=2&amp;CTT=5&amp;origin=HA102752955" TargetMode="External"/><Relationship Id="rId285" Type="http://schemas.openxmlformats.org/officeDocument/2006/relationships/hyperlink" Target="http://office.microsoft.com/client/15/help/preview?AssetId=HA102753292&amp;lcid=1033&amp;NS=EXCEL&amp;Version=15&amp;tl=2&amp;CTT=5&amp;origin=HA102752955" TargetMode="External"/><Relationship Id="rId450" Type="http://schemas.openxmlformats.org/officeDocument/2006/relationships/hyperlink" Target="http://office.microsoft.com/client/15/help/preview?AssetId=HA102752826&amp;lcid=1033&amp;NS=EXCEL&amp;Version=15&amp;tl=2&amp;CTT=5&amp;origin=HA102752955" TargetMode="External"/><Relationship Id="rId17" Type="http://schemas.openxmlformats.org/officeDocument/2006/relationships/hyperlink" Target="http://office.microsoft.com/client/15/help/preview?AssetId=HA102752949&amp;lcid=1033&amp;NS=EXCEL&amp;Version=15&amp;tl=2&amp;CTT=5&amp;origin=HA102752955" TargetMode="External"/><Relationship Id="rId38" Type="http://schemas.openxmlformats.org/officeDocument/2006/relationships/hyperlink" Target="http://office.microsoft.com/client/15/help/preview?AssetId=HA102753169&amp;lcid=1033&amp;NS=EXCEL&amp;Version=15&amp;tl=2&amp;CTT=5&amp;origin=HA102752955" TargetMode="External"/><Relationship Id="rId59" Type="http://schemas.openxmlformats.org/officeDocument/2006/relationships/hyperlink" Target="http://office.microsoft.com/client/15/help/preview?AssetId=HA102753065&amp;lcid=1033&amp;NS=EXCEL&amp;Version=15&amp;tl=2&amp;CTT=5&amp;origin=HA102752955" TargetMode="External"/><Relationship Id="rId103" Type="http://schemas.openxmlformats.org/officeDocument/2006/relationships/hyperlink" Target="http://office.microsoft.com/client/15/help/preview?AssetId=HA102752806&amp;lcid=1033&amp;NS=EXCEL&amp;Version=15&amp;tl=2&amp;CTT=5&amp;origin=HA102752955" TargetMode="External"/><Relationship Id="rId124" Type="http://schemas.openxmlformats.org/officeDocument/2006/relationships/hyperlink" Target="http://office.microsoft.com/client/15/help/preview?AssetId=HA102752981&amp;lcid=1033&amp;NS=EXCEL&amp;Version=15&amp;tl=2&amp;CTT=5&amp;origin=HA102752955" TargetMode="External"/><Relationship Id="rId310" Type="http://schemas.openxmlformats.org/officeDocument/2006/relationships/hyperlink" Target="http://office.microsoft.com/client/15/help/preview?AssetId=HA102752853&amp;lcid=1033&amp;NS=EXCEL&amp;Version=15&amp;tl=2&amp;CTT=5&amp;origin=HA102752955" TargetMode="External"/><Relationship Id="rId70" Type="http://schemas.openxmlformats.org/officeDocument/2006/relationships/hyperlink" Target="http://office.microsoft.com/client/15/help/preview?AssetId=HA102753216&amp;lcid=1033&amp;NS=EXCEL&amp;Version=15&amp;tl=2&amp;CTT=5&amp;origin=HA102752955" TargetMode="External"/><Relationship Id="rId91" Type="http://schemas.openxmlformats.org/officeDocument/2006/relationships/hyperlink" Target="http://office.microsoft.com/client/15/help/preview?AssetId=HA102753253&amp;lcid=1033&amp;NS=EXCEL&amp;Version=15&amp;tl=2&amp;CTT=5&amp;origin=HA102752955" TargetMode="External"/><Relationship Id="rId145" Type="http://schemas.openxmlformats.org/officeDocument/2006/relationships/hyperlink" Target="http://office.microsoft.com/client/15/help/preview?AssetId=HA102753071&amp;lcid=1033&amp;NS=EXCEL&amp;Version=15&amp;tl=2&amp;CTT=5&amp;origin=HA102752955" TargetMode="External"/><Relationship Id="rId166" Type="http://schemas.openxmlformats.org/officeDocument/2006/relationships/hyperlink" Target="http://office.microsoft.com/client/15/help/preview?AssetId=HA102752914&amp;lcid=1033&amp;NS=EXCEL&amp;Version=15&amp;tl=2&amp;CTT=5&amp;origin=HA102752955" TargetMode="External"/><Relationship Id="rId187" Type="http://schemas.openxmlformats.org/officeDocument/2006/relationships/hyperlink" Target="http://office.microsoft.com/client/15/help/preview?AssetId=HA102752815&amp;lcid=1033&amp;NS=EXCEL&amp;Version=15&amp;tl=2&amp;CTT=5&amp;origin=HA102752955" TargetMode="External"/><Relationship Id="rId331" Type="http://schemas.openxmlformats.org/officeDocument/2006/relationships/hyperlink" Target="http://office.microsoft.com/client/15/help/preview?AssetId=HA102753164&amp;lcid=1033&amp;NS=EXCEL&amp;Version=15&amp;tl=2&amp;CTT=5&amp;origin=HA102752955" TargetMode="External"/><Relationship Id="rId352" Type="http://schemas.openxmlformats.org/officeDocument/2006/relationships/hyperlink" Target="http://office.microsoft.com/client/15/help/preview?AssetId=HA102753012&amp;lcid=1033&amp;NS=EXCEL&amp;Version=15&amp;tl=2&amp;CTT=5&amp;origin=HA102752955" TargetMode="External"/><Relationship Id="rId373" Type="http://schemas.openxmlformats.org/officeDocument/2006/relationships/hyperlink" Target="http://office.microsoft.com/client/15/help/preview?AssetId=HA102752938&amp;lcid=1033&amp;NS=EXCEL&amp;Version=15&amp;tl=2&amp;CTT=5&amp;origin=HA102752955" TargetMode="External"/><Relationship Id="rId394" Type="http://schemas.openxmlformats.org/officeDocument/2006/relationships/hyperlink" Target="http://office.microsoft.com/client/15/help/preview?AssetId=HA102753140&amp;lcid=1033&amp;NS=EXCEL&amp;Version=15&amp;tl=2&amp;CTT=5&amp;origin=HA102752955" TargetMode="External"/><Relationship Id="rId408" Type="http://schemas.openxmlformats.org/officeDocument/2006/relationships/hyperlink" Target="http://office.microsoft.com/client/15/help/preview?AssetId=HA102753241&amp;lcid=1033&amp;NS=EXCEL&amp;Version=15&amp;tl=2&amp;CTT=5&amp;origin=HA102752955" TargetMode="External"/><Relationship Id="rId429" Type="http://schemas.openxmlformats.org/officeDocument/2006/relationships/hyperlink" Target="http://office.microsoft.com/client/15/help/preview?AssetId=HA102753046&amp;lcid=1033&amp;NS=EXCEL&amp;Version=15&amp;tl=2&amp;CTT=5&amp;origin=HA102752955" TargetMode="External"/><Relationship Id="rId1" Type="http://schemas.openxmlformats.org/officeDocument/2006/relationships/hyperlink" Target="http://office.microsoft.com/client/15/help/preview?AssetId=HA102753207&amp;lcid=1033&amp;NS=EXCEL&amp;Version=15&amp;tl=2&amp;CTT=5&amp;origin=HA102752955" TargetMode="External"/><Relationship Id="rId212" Type="http://schemas.openxmlformats.org/officeDocument/2006/relationships/hyperlink" Target="http://office.microsoft.com/client/15/help/preview?AssetId=HA102753022&amp;lcid=1033&amp;NS=EXCEL&amp;Version=15&amp;tl=2&amp;CTT=5&amp;origin=HA102752955" TargetMode="External"/><Relationship Id="rId233" Type="http://schemas.openxmlformats.org/officeDocument/2006/relationships/hyperlink" Target="http://office.microsoft.com/client/15/help/preview?AssetId=HA102752910&amp;lcid=1033&amp;NS=EXCEL&amp;Version=15&amp;tl=2&amp;CTT=5&amp;origin=HA102752955" TargetMode="External"/><Relationship Id="rId254" Type="http://schemas.openxmlformats.org/officeDocument/2006/relationships/hyperlink" Target="http://office.microsoft.com/client/15/help/preview?AssetId=HA102753213&amp;lcid=1033&amp;NS=EXCEL&amp;Version=15&amp;tl=2&amp;CTT=5&amp;origin=HA102752955" TargetMode="External"/><Relationship Id="rId440" Type="http://schemas.openxmlformats.org/officeDocument/2006/relationships/hyperlink" Target="http://office.microsoft.com/client/15/help/preview?AssetId=HA102752886&amp;lcid=1033&amp;NS=EXCEL&amp;Version=15&amp;tl=2&amp;CTT=5&amp;origin=HA102752955" TargetMode="External"/><Relationship Id="rId28" Type="http://schemas.openxmlformats.org/officeDocument/2006/relationships/hyperlink" Target="http://office.microsoft.com/client/15/help/preview?AssetId=HA102753179&amp;lcid=1033&amp;NS=EXCEL&amp;Version=15&amp;tl=2&amp;CTT=5&amp;origin=HA102752955" TargetMode="External"/><Relationship Id="rId49" Type="http://schemas.openxmlformats.org/officeDocument/2006/relationships/hyperlink" Target="http://office.microsoft.com/client/15/help/preview?AssetId=HA102753050&amp;lcid=1033&amp;NS=EXCEL&amp;Version=15&amp;tl=2&amp;CTT=5&amp;origin=HA102752955" TargetMode="External"/><Relationship Id="rId114" Type="http://schemas.openxmlformats.org/officeDocument/2006/relationships/hyperlink" Target="http://office.microsoft.com/client/15/help/preview?AssetId=HA102753283&amp;lcid=1033&amp;NS=EXCEL&amp;Version=15&amp;tl=2&amp;CTT=5&amp;origin=HA102752955" TargetMode="External"/><Relationship Id="rId275" Type="http://schemas.openxmlformats.org/officeDocument/2006/relationships/hyperlink" Target="http://office.microsoft.com/client/15/help/preview?AssetId=HA102752959&amp;lcid=1033&amp;NS=EXCEL&amp;Version=15&amp;tl=2&amp;CTT=5&amp;origin=HA102752955" TargetMode="External"/><Relationship Id="rId296" Type="http://schemas.openxmlformats.org/officeDocument/2006/relationships/hyperlink" Target="http://office.microsoft.com/client/15/help/preview?AssetId=HA102752881&amp;lcid=1033&amp;NS=EXCEL&amp;Version=15&amp;tl=2&amp;CTT=5&amp;origin=HA102752955" TargetMode="External"/><Relationship Id="rId300" Type="http://schemas.openxmlformats.org/officeDocument/2006/relationships/hyperlink" Target="http://office.microsoft.com/client/15/help/preview?AssetId=HA102752873&amp;lcid=1033&amp;NS=EXCEL&amp;Version=15&amp;tl=2&amp;CTT=5&amp;origin=HA102752955" TargetMode="External"/><Relationship Id="rId60" Type="http://schemas.openxmlformats.org/officeDocument/2006/relationships/hyperlink" Target="http://office.microsoft.com/client/15/help/preview?AssetId=HA102753063&amp;lcid=1033&amp;NS=EXCEL&amp;Version=15&amp;tl=2&amp;CTT=5&amp;origin=HA102752955" TargetMode="External"/><Relationship Id="rId81" Type="http://schemas.openxmlformats.org/officeDocument/2006/relationships/hyperlink" Target="http://office.microsoft.com/client/15/help/preview?AssetId=HA102752812&amp;lcid=1033&amp;NS=EXCEL&amp;Version=15&amp;tl=2&amp;CTT=5&amp;origin=HA102752955" TargetMode="External"/><Relationship Id="rId135" Type="http://schemas.openxmlformats.org/officeDocument/2006/relationships/hyperlink" Target="http://office.microsoft.com/client/15/help/preview?AssetId=HA102752916&amp;lcid=1033&amp;NS=EXCEL&amp;Version=15&amp;tl=2&amp;CTT=5&amp;origin=HA102752955" TargetMode="External"/><Relationship Id="rId156" Type="http://schemas.openxmlformats.org/officeDocument/2006/relationships/hyperlink" Target="http://office.microsoft.com/client/15/help/preview?AssetId=HA102753009&amp;lcid=1033&amp;NS=EXCEL&amp;Version=15&amp;tl=2&amp;CTT=5&amp;origin=HA102752955" TargetMode="External"/><Relationship Id="rId177" Type="http://schemas.openxmlformats.org/officeDocument/2006/relationships/hyperlink" Target="http://office.microsoft.com/client/15/help/preview?AssetId=HA102752889&amp;lcid=1033&amp;NS=EXCEL&amp;Version=15&amp;tl=2&amp;CTT=5&amp;origin=HA102752955" TargetMode="External"/><Relationship Id="rId198" Type="http://schemas.openxmlformats.org/officeDocument/2006/relationships/hyperlink" Target="http://office.microsoft.com/client/15/help/preview?AssetId=HA102753291&amp;lcid=1033&amp;NS=EXCEL&amp;Version=15&amp;tl=2&amp;CTT=5&amp;origin=HA102752955" TargetMode="External"/><Relationship Id="rId321" Type="http://schemas.openxmlformats.org/officeDocument/2006/relationships/hyperlink" Target="http://office.microsoft.com/client/15/help/preview?AssetId=HA102753240&amp;lcid=1033&amp;NS=EXCEL&amp;Version=15&amp;tl=2&amp;CTT=5&amp;origin=HA102752955" TargetMode="External"/><Relationship Id="rId342" Type="http://schemas.openxmlformats.org/officeDocument/2006/relationships/hyperlink" Target="http://office.microsoft.com/client/15/help/preview?AssetId=HA102753223&amp;lcid=1033&amp;NS=EXCEL&amp;Version=15&amp;tl=2&amp;CTT=5&amp;origin=HA102752955" TargetMode="External"/><Relationship Id="rId363" Type="http://schemas.openxmlformats.org/officeDocument/2006/relationships/hyperlink" Target="http://office.microsoft.com/client/15/help/preview?AssetId=HA102753153&amp;lcid=1033&amp;NS=EXCEL&amp;Version=15&amp;tl=2&amp;CTT=5&amp;origin=HA102752955" TargetMode="External"/><Relationship Id="rId384" Type="http://schemas.openxmlformats.org/officeDocument/2006/relationships/hyperlink" Target="http://office.microsoft.com/client/15/help/preview?AssetId=HA102753219&amp;lcid=1033&amp;NS=EXCEL&amp;Version=15&amp;tl=2&amp;CTT=5&amp;origin=HA102752955" TargetMode="External"/><Relationship Id="rId419" Type="http://schemas.openxmlformats.org/officeDocument/2006/relationships/hyperlink" Target="http://office.microsoft.com/client/15/help/preview?AssetId=HA102752822&amp;lcid=1033&amp;NS=EXCEL&amp;Version=15&amp;tl=2&amp;CTT=5&amp;origin=HA102752955" TargetMode="External"/><Relationship Id="rId202" Type="http://schemas.openxmlformats.org/officeDocument/2006/relationships/hyperlink" Target="http://office.microsoft.com/client/15/help/preview?AssetId=HA102752966&amp;lcid=1033&amp;NS=EXCEL&amp;Version=15&amp;tl=2&amp;CTT=5&amp;origin=HA102752955" TargetMode="External"/><Relationship Id="rId223" Type="http://schemas.openxmlformats.org/officeDocument/2006/relationships/hyperlink" Target="http://office.microsoft.com/client/15/help/preview?AssetId=HA102753091&amp;lcid=1033&amp;NS=EXCEL&amp;Version=15&amp;tl=2&amp;CTT=5&amp;origin=HA102752955" TargetMode="External"/><Relationship Id="rId244" Type="http://schemas.openxmlformats.org/officeDocument/2006/relationships/hyperlink" Target="http://office.microsoft.com/client/15/help/preview?AssetId=HA102753246&amp;lcid=1033&amp;NS=EXCEL&amp;Version=15&amp;tl=2&amp;CTT=5&amp;origin=HA102752955" TargetMode="External"/><Relationship Id="rId430" Type="http://schemas.openxmlformats.org/officeDocument/2006/relationships/hyperlink" Target="http://office.microsoft.com/client/15/help/preview?AssetId=HA102753026&amp;lcid=1033&amp;NS=EXCEL&amp;Version=15&amp;tl=2&amp;CTT=5&amp;origin=HA102752955" TargetMode="External"/><Relationship Id="rId18" Type="http://schemas.openxmlformats.org/officeDocument/2006/relationships/hyperlink" Target="http://office.microsoft.com/client/15/help/preview?AssetId=HA102753191&amp;lcid=1033&amp;NS=EXCEL&amp;Version=15&amp;tl=2&amp;CTT=5&amp;origin=HA102752955" TargetMode="External"/><Relationship Id="rId39" Type="http://schemas.openxmlformats.org/officeDocument/2006/relationships/hyperlink" Target="http://office.microsoft.com/client/15/help/preview?AssetId=HA102753236&amp;lcid=1033&amp;NS=EXCEL&amp;Version=15&amp;tl=2&amp;CTT=5&amp;origin=HA102752955" TargetMode="External"/><Relationship Id="rId265" Type="http://schemas.openxmlformats.org/officeDocument/2006/relationships/hyperlink" Target="http://office.microsoft.com/client/15/help/preview?AssetId=HA102753027&amp;lcid=1033&amp;NS=EXCEL&amp;Version=15&amp;tl=2&amp;CTT=5&amp;origin=HA102752955" TargetMode="External"/><Relationship Id="rId286" Type="http://schemas.openxmlformats.org/officeDocument/2006/relationships/hyperlink" Target="http://office.microsoft.com/client/15/help/preview?AssetId=HA102752915&amp;lcid=1033&amp;NS=EXCEL&amp;Version=15&amp;tl=2&amp;CTT=5&amp;origin=HA102752955" TargetMode="External"/><Relationship Id="rId451" Type="http://schemas.openxmlformats.org/officeDocument/2006/relationships/hyperlink" Target="http://office.microsoft.com/client/15/help/preview?AssetId=HA102752824&amp;lcid=1033&amp;NS=EXCEL&amp;Version=15&amp;tl=2&amp;CTT=5&amp;origin=HA102752955" TargetMode="External"/><Relationship Id="rId50" Type="http://schemas.openxmlformats.org/officeDocument/2006/relationships/hyperlink" Target="http://office.microsoft.com/client/15/help/preview?AssetId=HA102753048&amp;lcid=1033&amp;NS=EXCEL&amp;Version=15&amp;tl=2&amp;CTT=5&amp;origin=HA102752955" TargetMode="External"/><Relationship Id="rId104" Type="http://schemas.openxmlformats.org/officeDocument/2006/relationships/hyperlink" Target="http://office.microsoft.com/client/15/help/preview?AssetId=HA102753005&amp;lcid=1033&amp;NS=EXCEL&amp;Version=15&amp;tl=2&amp;CTT=5&amp;origin=HA102752955" TargetMode="External"/><Relationship Id="rId125" Type="http://schemas.openxmlformats.org/officeDocument/2006/relationships/hyperlink" Target="http://office.microsoft.com/client/15/help/preview?AssetId=HA102753287&amp;lcid=1033&amp;NS=EXCEL&amp;Version=15&amp;tl=2&amp;CTT=5&amp;origin=HA102752955" TargetMode="External"/><Relationship Id="rId146" Type="http://schemas.openxmlformats.org/officeDocument/2006/relationships/hyperlink" Target="http://office.microsoft.com/client/15/help/preview?AssetId=HA102753070&amp;lcid=1033&amp;NS=EXCEL&amp;Version=15&amp;tl=2&amp;CTT=5&amp;origin=HA102752955" TargetMode="External"/><Relationship Id="rId167" Type="http://schemas.openxmlformats.org/officeDocument/2006/relationships/hyperlink" Target="http://office.microsoft.com/client/15/help/preview?AssetId=HA102752913&amp;lcid=1033&amp;NS=EXCEL&amp;Version=15&amp;tl=2&amp;CTT=5&amp;origin=HA102752955" TargetMode="External"/><Relationship Id="rId188" Type="http://schemas.openxmlformats.org/officeDocument/2006/relationships/hyperlink" Target="http://office.microsoft.com/client/15/help/preview?AssetId=HA102752811&amp;lcid=1033&amp;NS=EXCEL&amp;Version=15&amp;tl=2&amp;CTT=5&amp;origin=HA102752955" TargetMode="External"/><Relationship Id="rId311" Type="http://schemas.openxmlformats.org/officeDocument/2006/relationships/hyperlink" Target="http://office.microsoft.com/client/15/help/preview?AssetId=HA102752852&amp;lcid=1033&amp;NS=EXCEL&amp;Version=15&amp;tl=2&amp;CTT=5&amp;origin=HA102752955" TargetMode="External"/><Relationship Id="rId332" Type="http://schemas.openxmlformats.org/officeDocument/2006/relationships/hyperlink" Target="http://office.microsoft.com/client/15/help/preview?AssetId=HA102753163&amp;lcid=1033&amp;NS=EXCEL&amp;Version=15&amp;tl=2&amp;CTT=5&amp;origin=HA102752955" TargetMode="External"/><Relationship Id="rId353" Type="http://schemas.openxmlformats.org/officeDocument/2006/relationships/hyperlink" Target="http://office.microsoft.com/client/15/help/preview?AssetId=HA102753011&amp;lcid=1033&amp;NS=EXCEL&amp;Version=15&amp;tl=2&amp;CTT=5&amp;origin=HA102752955" TargetMode="External"/><Relationship Id="rId374" Type="http://schemas.openxmlformats.org/officeDocument/2006/relationships/hyperlink" Target="http://office.microsoft.com/client/15/help/preview?AssetId=HA102752936&amp;lcid=1033&amp;NS=EXCEL&amp;Version=15&amp;tl=2&amp;CTT=5&amp;origin=HA102752955" TargetMode="External"/><Relationship Id="rId395" Type="http://schemas.openxmlformats.org/officeDocument/2006/relationships/hyperlink" Target="http://office.microsoft.com/client/15/help/preview?AssetId=HA102753220&amp;lcid=1033&amp;NS=EXCEL&amp;Version=15&amp;tl=2&amp;CTT=5&amp;origin=HA102752955" TargetMode="External"/><Relationship Id="rId409" Type="http://schemas.openxmlformats.org/officeDocument/2006/relationships/hyperlink" Target="http://office.microsoft.com/client/15/help/preview?AssetId=HA102753138&amp;lcid=1033&amp;NS=EXCEL&amp;Version=15&amp;tl=2&amp;CTT=5&amp;origin=HA102752955" TargetMode="External"/><Relationship Id="rId71" Type="http://schemas.openxmlformats.org/officeDocument/2006/relationships/hyperlink" Target="http://office.microsoft.com/client/15/help/preview?AssetId=HA102752921&amp;lcid=1033&amp;NS=EXCEL&amp;Version=15&amp;tl=2&amp;CTT=5&amp;origin=HA102752955" TargetMode="External"/><Relationship Id="rId92" Type="http://schemas.openxmlformats.org/officeDocument/2006/relationships/hyperlink" Target="http://office.microsoft.com/client/15/help/preview?AssetId=HA102753254&amp;lcid=1033&amp;NS=EXCEL&amp;Version=15&amp;tl=2&amp;CTT=5&amp;origin=HA102752955" TargetMode="External"/><Relationship Id="rId213" Type="http://schemas.openxmlformats.org/officeDocument/2006/relationships/hyperlink" Target="http://office.microsoft.com/client/15/help/preview?AssetId=HA102752994&amp;lcid=1033&amp;NS=EXCEL&amp;Version=15&amp;tl=2&amp;CTT=5&amp;origin=HA102752955" TargetMode="External"/><Relationship Id="rId234" Type="http://schemas.openxmlformats.org/officeDocument/2006/relationships/hyperlink" Target="http://office.microsoft.com/client/15/help/preview?AssetId=HA102752879&amp;lcid=1033&amp;NS=EXCEL&amp;Version=15&amp;tl=2&amp;CTT=5&amp;origin=HA102752955" TargetMode="External"/><Relationship Id="rId420" Type="http://schemas.openxmlformats.org/officeDocument/2006/relationships/hyperlink" Target="http://office.microsoft.com/client/15/help/preview?AssetId=HA102753132&amp;lcid=1033&amp;NS=EXCEL&amp;Version=15&amp;tl=2&amp;CTT=5&amp;origin=HA102752955" TargetMode="External"/><Relationship Id="rId2" Type="http://schemas.openxmlformats.org/officeDocument/2006/relationships/hyperlink" Target="http://office.microsoft.com/client/15/help/preview?AssetId=HA102753206&amp;lcid=1033&amp;NS=EXCEL&amp;Version=15&amp;tl=2&amp;CTT=5&amp;origin=HA102752955" TargetMode="External"/><Relationship Id="rId29" Type="http://schemas.openxmlformats.org/officeDocument/2006/relationships/hyperlink" Target="http://office.microsoft.com/client/15/help/preview?AssetId=HA102753178&amp;lcid=1033&amp;NS=EXCEL&amp;Version=15&amp;tl=2&amp;CTT=5&amp;origin=HA102752955" TargetMode="External"/><Relationship Id="rId255" Type="http://schemas.openxmlformats.org/officeDocument/2006/relationships/hyperlink" Target="http://office.microsoft.com/client/15/help/preview?AssetId=HA102753088&amp;lcid=1033&amp;NS=EXCEL&amp;Version=15&amp;tl=2&amp;CTT=5&amp;origin=HA102752955" TargetMode="External"/><Relationship Id="rId276" Type="http://schemas.openxmlformats.org/officeDocument/2006/relationships/hyperlink" Target="http://office.microsoft.com/client/15/help/preview?AssetId=HA102752954&amp;lcid=1033&amp;NS=EXCEL&amp;Version=15&amp;tl=2&amp;CTT=5&amp;origin=HA102752955" TargetMode="External"/><Relationship Id="rId297" Type="http://schemas.openxmlformats.org/officeDocument/2006/relationships/hyperlink" Target="http://office.microsoft.com/client/15/help/preview?AssetId=HA102752880&amp;lcid=1033&amp;NS=EXCEL&amp;Version=15&amp;tl=2&amp;CTT=5&amp;origin=HA102752955" TargetMode="External"/><Relationship Id="rId441" Type="http://schemas.openxmlformats.org/officeDocument/2006/relationships/hyperlink" Target="http://office.microsoft.com/client/15/help/preview?AssetId=HA102752885&amp;lcid=1033&amp;NS=EXCEL&amp;Version=15&amp;tl=2&amp;CTT=5&amp;origin=HA102752955" TargetMode="External"/><Relationship Id="rId40" Type="http://schemas.openxmlformats.org/officeDocument/2006/relationships/hyperlink" Target="http://office.microsoft.com/client/15/help/preview?AssetId=HA102753235&amp;lcid=1033&amp;NS=EXCEL&amp;Version=15&amp;tl=2&amp;CTT=5&amp;origin=HA102752955" TargetMode="External"/><Relationship Id="rId115" Type="http://schemas.openxmlformats.org/officeDocument/2006/relationships/hyperlink" Target="http://office.microsoft.com/client/15/help/preview?AssetId=HA102753284&amp;lcid=1033&amp;NS=EXCEL&amp;Version=15&amp;tl=2&amp;CTT=5&amp;origin=HA102752955" TargetMode="External"/><Relationship Id="rId136" Type="http://schemas.openxmlformats.org/officeDocument/2006/relationships/hyperlink" Target="http://office.microsoft.com/client/15/help/preview?AssetId=HA102753127&amp;lcid=1033&amp;NS=EXCEL&amp;Version=15&amp;tl=2&amp;CTT=5&amp;origin=HA102752955" TargetMode="External"/><Relationship Id="rId157" Type="http://schemas.openxmlformats.org/officeDocument/2006/relationships/hyperlink" Target="http://office.microsoft.com/client/15/help/preview?AssetId=HA102752970&amp;lcid=1033&amp;NS=EXCEL&amp;Version=15&amp;tl=2&amp;CTT=5&amp;origin=HA102752955" TargetMode="External"/><Relationship Id="rId178" Type="http://schemas.openxmlformats.org/officeDocument/2006/relationships/hyperlink" Target="http://office.microsoft.com/client/15/help/preview?AssetId=HA102752888&amp;lcid=1033&amp;NS=EXCEL&amp;Version=15&amp;tl=2&amp;CTT=5&amp;origin=HA102752955" TargetMode="External"/><Relationship Id="rId301" Type="http://schemas.openxmlformats.org/officeDocument/2006/relationships/hyperlink" Target="http://office.microsoft.com/client/15/help/preview?AssetId=HA102752872&amp;lcid=1033&amp;NS=EXCEL&amp;Version=15&amp;tl=2&amp;CTT=5&amp;origin=HA102752955" TargetMode="External"/><Relationship Id="rId322" Type="http://schemas.openxmlformats.org/officeDocument/2006/relationships/hyperlink" Target="http://office.microsoft.com/client/15/help/preview?AssetId=HA102753239&amp;lcid=1033&amp;NS=EXCEL&amp;Version=15&amp;tl=2&amp;CTT=5&amp;origin=HA102752955" TargetMode="External"/><Relationship Id="rId343" Type="http://schemas.openxmlformats.org/officeDocument/2006/relationships/hyperlink" Target="http://office.microsoft.com/client/15/help/preview?AssetId=HA102753051&amp;lcid=1033&amp;NS=EXCEL&amp;Version=15&amp;tl=2&amp;CTT=5&amp;origin=HA102752955" TargetMode="External"/><Relationship Id="rId364" Type="http://schemas.openxmlformats.org/officeDocument/2006/relationships/hyperlink" Target="http://office.microsoft.com/client/15/help/preview?AssetId=HA102752971&amp;lcid=1033&amp;NS=EXCEL&amp;Version=15&amp;tl=2&amp;CTT=5&amp;origin=HA102752955" TargetMode="External"/><Relationship Id="rId61" Type="http://schemas.openxmlformats.org/officeDocument/2006/relationships/hyperlink" Target="http://office.microsoft.com/client/15/help/preview?AssetId=HA102753275&amp;lcid=1033&amp;NS=EXCEL&amp;Version=15&amp;tl=2&amp;CTT=5&amp;origin=HA102752955" TargetMode="External"/><Relationship Id="rId82" Type="http://schemas.openxmlformats.org/officeDocument/2006/relationships/hyperlink" Target="http://office.microsoft.com/client/15/help/preview?AssetId=HA102753105&amp;lcid=1033&amp;NS=EXCEL&amp;Version=15&amp;tl=2&amp;CTT=5&amp;origin=HA102752955" TargetMode="External"/><Relationship Id="rId199" Type="http://schemas.openxmlformats.org/officeDocument/2006/relationships/hyperlink" Target="http://office.microsoft.com/client/15/help/preview?AssetId=HA102752966&amp;lcid=1033&amp;NS=EXCEL&amp;Version=15&amp;tl=2&amp;CTT=5&amp;origin=HA102752955" TargetMode="External"/><Relationship Id="rId203" Type="http://schemas.openxmlformats.org/officeDocument/2006/relationships/hyperlink" Target="http://office.microsoft.com/client/15/help/preview?AssetId=HA102752966&amp;lcid=1033&amp;NS=EXCEL&amp;Version=15&amp;tl=2&amp;CTT=5&amp;origin=HA102752955" TargetMode="External"/><Relationship Id="rId385" Type="http://schemas.openxmlformats.org/officeDocument/2006/relationships/hyperlink" Target="http://office.microsoft.com/client/15/help/preview?AssetId=HA102753143&amp;lcid=1033&amp;NS=EXCEL&amp;Version=15&amp;tl=2&amp;CTT=5&amp;origin=HA102752955" TargetMode="External"/><Relationship Id="rId19" Type="http://schemas.openxmlformats.org/officeDocument/2006/relationships/hyperlink" Target="http://office.microsoft.com/client/15/help/preview?AssetId=HA102753190&amp;lcid=1033&amp;NS=EXCEL&amp;Version=15&amp;tl=2&amp;CTT=5&amp;origin=HA102752955" TargetMode="External"/><Relationship Id="rId224" Type="http://schemas.openxmlformats.org/officeDocument/2006/relationships/hyperlink" Target="http://office.microsoft.com/client/15/help/preview?AssetId=HA102753089&amp;lcid=1033&amp;NS=EXCEL&amp;Version=15&amp;tl=2&amp;CTT=5&amp;origin=HA102752955" TargetMode="External"/><Relationship Id="rId245" Type="http://schemas.openxmlformats.org/officeDocument/2006/relationships/hyperlink" Target="http://office.microsoft.com/client/15/help/preview?AssetId=HA102753258&amp;lcid=1033&amp;NS=EXCEL&amp;Version=15&amp;tl=2&amp;CTT=5&amp;origin=HA102752955" TargetMode="External"/><Relationship Id="rId266" Type="http://schemas.openxmlformats.org/officeDocument/2006/relationships/hyperlink" Target="http://office.microsoft.com/client/15/help/preview?AssetId=HA102753025&amp;lcid=1033&amp;NS=EXCEL&amp;Version=15&amp;tl=2&amp;CTT=5&amp;origin=HA102752955" TargetMode="External"/><Relationship Id="rId287" Type="http://schemas.openxmlformats.org/officeDocument/2006/relationships/hyperlink" Target="http://office.microsoft.com/client/15/help/preview?AssetId=HA102752904&amp;lcid=1033&amp;NS=EXCEL&amp;Version=15&amp;tl=2&amp;CTT=5&amp;origin=HA102752955" TargetMode="External"/><Relationship Id="rId410" Type="http://schemas.openxmlformats.org/officeDocument/2006/relationships/hyperlink" Target="http://office.microsoft.com/client/15/help/preview?AssetId=HA102753130&amp;lcid=1033&amp;NS=EXCEL&amp;Version=15&amp;tl=2&amp;CTT=5&amp;origin=HA102752955" TargetMode="External"/><Relationship Id="rId431" Type="http://schemas.openxmlformats.org/officeDocument/2006/relationships/hyperlink" Target="http://office.microsoft.com/client/15/help/preview?AssetId=HA102753018&amp;lcid=1033&amp;NS=EXCEL&amp;Version=15&amp;tl=2&amp;CTT=5&amp;origin=HA102752955" TargetMode="External"/><Relationship Id="rId452" Type="http://schemas.openxmlformats.org/officeDocument/2006/relationships/hyperlink" Target="http://office.microsoft.com/client/15/help/preview?AssetId=HA102753098&amp;lcid=1033&amp;NS=EXCEL&amp;Version=15&amp;tl=2&amp;CTT=5&amp;origin=HA102752955" TargetMode="External"/><Relationship Id="rId30" Type="http://schemas.openxmlformats.org/officeDocument/2006/relationships/hyperlink" Target="http://office.microsoft.com/client/15/help/preview?AssetId=HA102753177&amp;lcid=1033&amp;NS=EXCEL&amp;Version=15&amp;tl=2&amp;CTT=5&amp;origin=HA102752955" TargetMode="External"/><Relationship Id="rId105" Type="http://schemas.openxmlformats.org/officeDocument/2006/relationships/hyperlink" Target="http://office.microsoft.com/client/15/help/preview?AssetId=HA102753001&amp;lcid=1033&amp;NS=EXCEL&amp;Version=15&amp;tl=2&amp;CTT=5&amp;origin=HA102752955" TargetMode="External"/><Relationship Id="rId126" Type="http://schemas.openxmlformats.org/officeDocument/2006/relationships/hyperlink" Target="http://office.microsoft.com/client/15/help/preview?AssetId=HA102753288&amp;lcid=1033&amp;NS=EXCEL&amp;Version=15&amp;tl=2&amp;CTT=5&amp;origin=HA102752955" TargetMode="External"/><Relationship Id="rId147" Type="http://schemas.openxmlformats.org/officeDocument/2006/relationships/hyperlink" Target="http://office.microsoft.com/client/15/help/preview?AssetId=HA102753069&amp;lcid=1033&amp;NS=EXCEL&amp;Version=15&amp;tl=2&amp;CTT=5&amp;origin=HA102752955" TargetMode="External"/><Relationship Id="rId168" Type="http://schemas.openxmlformats.org/officeDocument/2006/relationships/hyperlink" Target="http://office.microsoft.com/client/15/help/preview?AssetId=HA102752912&amp;lcid=1033&amp;NS=EXCEL&amp;Version=15&amp;tl=2&amp;CTT=5&amp;origin=HA102752955" TargetMode="External"/><Relationship Id="rId312" Type="http://schemas.openxmlformats.org/officeDocument/2006/relationships/hyperlink" Target="http://office.microsoft.com/client/15/help/preview?AssetId=HA102752851&amp;lcid=1033&amp;NS=EXCEL&amp;Version=15&amp;tl=2&amp;CTT=5&amp;origin=HA102752955" TargetMode="External"/><Relationship Id="rId333" Type="http://schemas.openxmlformats.org/officeDocument/2006/relationships/hyperlink" Target="http://office.microsoft.com/client/15/help/preview?AssetId=HA102753162&amp;lcid=1033&amp;NS=EXCEL&amp;Version=15&amp;tl=2&amp;CTT=5&amp;origin=HA102752955" TargetMode="External"/><Relationship Id="rId354" Type="http://schemas.openxmlformats.org/officeDocument/2006/relationships/hyperlink" Target="http://office.microsoft.com/client/15/help/preview?AssetId=HA102753277&amp;lcid=1033&amp;NS=EXCEL&amp;Version=15&amp;tl=2&amp;CTT=5&amp;origin=HA102752955" TargetMode="External"/><Relationship Id="rId51" Type="http://schemas.openxmlformats.org/officeDocument/2006/relationships/hyperlink" Target="http://office.microsoft.com/client/15/help/preview?AssetId=HA102753047&amp;lcid=1033&amp;NS=EXCEL&amp;Version=15&amp;tl=2&amp;CTT=5&amp;origin=HA102752955" TargetMode="External"/><Relationship Id="rId72" Type="http://schemas.openxmlformats.org/officeDocument/2006/relationships/hyperlink" Target="http://office.microsoft.com/client/15/help/preview?AssetId=HA102752874&amp;lcid=1033&amp;NS=EXCEL&amp;Version=15&amp;tl=2&amp;CTT=5&amp;origin=HA102752955" TargetMode="External"/><Relationship Id="rId93" Type="http://schemas.openxmlformats.org/officeDocument/2006/relationships/hyperlink" Target="http://office.microsoft.com/client/15/help/preview?AssetId=HA102753255&amp;lcid=1033&amp;NS=EXCEL&amp;Version=15&amp;tl=2&amp;CTT=5&amp;origin=HA102752955" TargetMode="External"/><Relationship Id="rId189" Type="http://schemas.openxmlformats.org/officeDocument/2006/relationships/hyperlink" Target="http://office.microsoft.com/client/15/help/preview?AssetId=HA102752810&amp;lcid=1033&amp;NS=EXCEL&amp;Version=15&amp;tl=2&amp;CTT=5&amp;origin=HA102752955" TargetMode="External"/><Relationship Id="rId375" Type="http://schemas.openxmlformats.org/officeDocument/2006/relationships/hyperlink" Target="http://office.microsoft.com/client/15/help/preview?AssetId=HA102752935&amp;lcid=1033&amp;NS=EXCEL&amp;Version=15&amp;tl=2&amp;CTT=5&amp;origin=HA102752955" TargetMode="External"/><Relationship Id="rId396" Type="http://schemas.openxmlformats.org/officeDocument/2006/relationships/hyperlink" Target="http://office.microsoft.com/client/15/help/preview?AssetId=HA102753150&amp;lcid=1033&amp;NS=EXCEL&amp;Version=15&amp;tl=2&amp;CTT=5&amp;origin=HA102752955" TargetMode="External"/><Relationship Id="rId3" Type="http://schemas.openxmlformats.org/officeDocument/2006/relationships/hyperlink" Target="http://office.microsoft.com/client/15/help/preview?AssetId=HA102753205&amp;lcid=1033&amp;NS=EXCEL&amp;Version=15&amp;tl=2&amp;CTT=5&amp;origin=HA102752955" TargetMode="External"/><Relationship Id="rId214" Type="http://schemas.openxmlformats.org/officeDocument/2006/relationships/hyperlink" Target="http://office.microsoft.com/client/15/help/preview?AssetId=HA102753228&amp;lcid=1033&amp;NS=EXCEL&amp;Version=15&amp;tl=2&amp;CTT=5&amp;origin=HA102752955" TargetMode="External"/><Relationship Id="rId235" Type="http://schemas.openxmlformats.org/officeDocument/2006/relationships/hyperlink" Target="http://office.microsoft.com/client/15/help/preview?AssetId=HA102752878&amp;lcid=1033&amp;NS=EXCEL&amp;Version=15&amp;tl=2&amp;CTT=5&amp;origin=HA102752955" TargetMode="External"/><Relationship Id="rId256" Type="http://schemas.openxmlformats.org/officeDocument/2006/relationships/hyperlink" Target="http://office.microsoft.com/client/15/help/preview?AssetId=HA102753248&amp;lcid=1033&amp;NS=EXCEL&amp;Version=15&amp;tl=2&amp;CTT=5&amp;origin=HA102752955" TargetMode="External"/><Relationship Id="rId277" Type="http://schemas.openxmlformats.org/officeDocument/2006/relationships/hyperlink" Target="http://office.microsoft.com/client/15/help/preview?AssetId=HA102752953&amp;lcid=1033&amp;NS=EXCEL&amp;Version=15&amp;tl=2&amp;CTT=5&amp;origin=HA102752955" TargetMode="External"/><Relationship Id="rId298" Type="http://schemas.openxmlformats.org/officeDocument/2006/relationships/hyperlink" Target="http://office.microsoft.com/client/15/help/preview?AssetId=HA102753268&amp;lcid=1033&amp;NS=EXCEL&amp;Version=15&amp;tl=2&amp;CTT=5&amp;origin=HA102752955" TargetMode="External"/><Relationship Id="rId400" Type="http://schemas.openxmlformats.org/officeDocument/2006/relationships/hyperlink" Target="http://office.microsoft.com/client/15/help/preview?AssetId=HA102752867&amp;lcid=1033&amp;NS=EXCEL&amp;Version=15&amp;tl=2&amp;CTT=5&amp;origin=HA102752955" TargetMode="External"/><Relationship Id="rId421" Type="http://schemas.openxmlformats.org/officeDocument/2006/relationships/hyperlink" Target="http://office.microsoft.com/client/15/help/preview?AssetId=HA102753131&amp;lcid=1033&amp;NS=EXCEL&amp;Version=15&amp;tl=2&amp;CTT=5&amp;origin=HA102752955" TargetMode="External"/><Relationship Id="rId442" Type="http://schemas.openxmlformats.org/officeDocument/2006/relationships/hyperlink" Target="http://office.microsoft.com/client/15/help/preview?AssetId=HA102752884&amp;lcid=1033&amp;NS=EXCEL&amp;Version=15&amp;tl=2&amp;CTT=5&amp;origin=HA102752955" TargetMode="External"/><Relationship Id="rId116" Type="http://schemas.openxmlformats.org/officeDocument/2006/relationships/hyperlink" Target="http://office.microsoft.com/client/15/help/preview?AssetId=HA102753285&amp;lcid=1033&amp;NS=EXCEL&amp;Version=15&amp;tl=2&amp;CTT=5&amp;origin=HA102752955" TargetMode="External"/><Relationship Id="rId137" Type="http://schemas.openxmlformats.org/officeDocument/2006/relationships/hyperlink" Target="http://office.microsoft.com/client/15/help/preview?AssetId=HA102753126&amp;lcid=1033&amp;NS=EXCEL&amp;Version=15&amp;tl=2&amp;CTT=5&amp;origin=HA102752955" TargetMode="External"/><Relationship Id="rId158" Type="http://schemas.openxmlformats.org/officeDocument/2006/relationships/hyperlink" Target="http://office.microsoft.com/client/15/help/preview?AssetId=HA102752968&amp;lcid=1033&amp;NS=EXCEL&amp;Version=15&amp;tl=2&amp;CTT=5&amp;origin=HA102752955" TargetMode="External"/><Relationship Id="rId302" Type="http://schemas.openxmlformats.org/officeDocument/2006/relationships/hyperlink" Target="http://office.microsoft.com/client/15/help/preview?AssetId=HA102752871&amp;lcid=1033&amp;NS=EXCEL&amp;Version=15&amp;tl=2&amp;CTT=5&amp;origin=HA102752955" TargetMode="External"/><Relationship Id="rId323" Type="http://schemas.openxmlformats.org/officeDocument/2006/relationships/hyperlink" Target="http://office.microsoft.com/client/15/help/preview?AssetId=HA102753168&amp;lcid=1033&amp;NS=EXCEL&amp;Version=15&amp;tl=2&amp;CTT=5&amp;origin=HA102752955" TargetMode="External"/><Relationship Id="rId344" Type="http://schemas.openxmlformats.org/officeDocument/2006/relationships/hyperlink" Target="http://office.microsoft.com/client/15/help/preview?AssetId=HA102753159&amp;lcid=1033&amp;NS=EXCEL&amp;Version=15&amp;tl=2&amp;CTT=5&amp;origin=HA102752955" TargetMode="External"/><Relationship Id="rId20" Type="http://schemas.openxmlformats.org/officeDocument/2006/relationships/hyperlink" Target="http://office.microsoft.com/client/15/help/preview?AssetId=HA102753189&amp;lcid=1033&amp;NS=EXCEL&amp;Version=15&amp;tl=2&amp;CTT=5&amp;origin=HA102752955" TargetMode="External"/><Relationship Id="rId41" Type="http://schemas.openxmlformats.org/officeDocument/2006/relationships/hyperlink" Target="http://office.microsoft.com/client/15/help/preview?AssetId=HA102753234&amp;lcid=1033&amp;NS=EXCEL&amp;Version=15&amp;tl=2&amp;CTT=5&amp;origin=HA102752955" TargetMode="External"/><Relationship Id="rId62" Type="http://schemas.openxmlformats.org/officeDocument/2006/relationships/hyperlink" Target="http://office.microsoft.com/client/15/help/preview?AssetId=HA102753062&amp;lcid=1033&amp;NS=EXCEL&amp;Version=15&amp;tl=2&amp;CTT=5&amp;origin=HA102752955" TargetMode="External"/><Relationship Id="rId83" Type="http://schemas.openxmlformats.org/officeDocument/2006/relationships/hyperlink" Target="http://office.microsoft.com/client/15/help/preview?AssetId=HA102753104&amp;lcid=1033&amp;NS=EXCEL&amp;Version=15&amp;tl=2&amp;CTT=5&amp;origin=HA102752955" TargetMode="External"/><Relationship Id="rId179" Type="http://schemas.openxmlformats.org/officeDocument/2006/relationships/hyperlink" Target="http://office.microsoft.com/client/15/help/preview?AssetId=HA102753267&amp;lcid=1033&amp;NS=EXCEL&amp;Version=15&amp;tl=2&amp;CTT=5&amp;origin=HA102752955" TargetMode="External"/><Relationship Id="rId365" Type="http://schemas.openxmlformats.org/officeDocument/2006/relationships/hyperlink" Target="http://office.microsoft.com/client/15/help/preview?AssetId=HA102752961&amp;lcid=1033&amp;NS=EXCEL&amp;Version=15&amp;tl=2&amp;CTT=5&amp;origin=HA102752955" TargetMode="External"/><Relationship Id="rId386" Type="http://schemas.openxmlformats.org/officeDocument/2006/relationships/hyperlink" Target="http://office.microsoft.com/client/15/help/preview?AssetId=HA102753218&amp;lcid=1033&amp;NS=EXCEL&amp;Version=15&amp;tl=2&amp;CTT=5&amp;origin=HA102752955" TargetMode="External"/><Relationship Id="rId190" Type="http://schemas.openxmlformats.org/officeDocument/2006/relationships/hyperlink" Target="http://office.microsoft.com/client/15/help/preview?AssetId=HA102752809&amp;lcid=1033&amp;NS=EXCEL&amp;Version=15&amp;tl=2&amp;CTT=5&amp;origin=HA102752955" TargetMode="External"/><Relationship Id="rId204" Type="http://schemas.openxmlformats.org/officeDocument/2006/relationships/hyperlink" Target="http://office.microsoft.com/client/15/help/preview?AssetId=HA102752966&amp;lcid=1033&amp;NS=EXCEL&amp;Version=15&amp;tl=2&amp;CTT=5&amp;origin=HA102752955" TargetMode="External"/><Relationship Id="rId225" Type="http://schemas.openxmlformats.org/officeDocument/2006/relationships/hyperlink" Target="http://office.microsoft.com/client/15/help/preview?AssetId=HA102753280&amp;lcid=1033&amp;NS=EXCEL&amp;Version=15&amp;tl=2&amp;CTT=5&amp;origin=HA102752955" TargetMode="External"/><Relationship Id="rId246" Type="http://schemas.openxmlformats.org/officeDocument/2006/relationships/hyperlink" Target="http://office.microsoft.com/client/15/help/preview?AssetId=HA102753115&amp;lcid=1033&amp;NS=EXCEL&amp;Version=15&amp;tl=2&amp;CTT=5&amp;origin=HA102752955" TargetMode="External"/><Relationship Id="rId267" Type="http://schemas.openxmlformats.org/officeDocument/2006/relationships/hyperlink" Target="http://office.microsoft.com/client/15/help/preview?AssetId=HA102753024&amp;lcid=1033&amp;NS=EXCEL&amp;Version=15&amp;tl=2&amp;CTT=5&amp;origin=HA102752955" TargetMode="External"/><Relationship Id="rId288" Type="http://schemas.openxmlformats.org/officeDocument/2006/relationships/hyperlink" Target="http://office.microsoft.com/client/15/help/preview?AssetId=HA102752902&amp;lcid=1033&amp;NS=EXCEL&amp;Version=15&amp;tl=2&amp;CTT=5&amp;origin=HA102752955" TargetMode="External"/><Relationship Id="rId411" Type="http://schemas.openxmlformats.org/officeDocument/2006/relationships/hyperlink" Target="http://office.microsoft.com/client/15/help/preview?AssetId=HA102753225&amp;lcid=1033&amp;NS=EXCEL&amp;Version=15&amp;tl=2&amp;CTT=5&amp;origin=HA102752955" TargetMode="External"/><Relationship Id="rId432" Type="http://schemas.openxmlformats.org/officeDocument/2006/relationships/hyperlink" Target="http://office.microsoft.com/client/15/help/preview?AssetId=HA102753014&amp;lcid=1033&amp;NS=EXCEL&amp;Version=15&amp;tl=2&amp;CTT=5&amp;origin=HA102752955" TargetMode="External"/><Relationship Id="rId453" Type="http://schemas.openxmlformats.org/officeDocument/2006/relationships/hyperlink" Target="http://office.microsoft.com/client/15/help/preview?AssetId=HA102753028&amp;lcid=1033&amp;NS=EXCEL&amp;Version=15&amp;tl=2&amp;CTT=5&amp;origin=HA102752955" TargetMode="External"/><Relationship Id="rId106" Type="http://schemas.openxmlformats.org/officeDocument/2006/relationships/hyperlink" Target="http://office.microsoft.com/client/15/help/preview?AssetId=HA102753000&amp;lcid=1033&amp;NS=EXCEL&amp;Version=15&amp;tl=2&amp;CTT=5&amp;origin=HA102752955" TargetMode="External"/><Relationship Id="rId127" Type="http://schemas.openxmlformats.org/officeDocument/2006/relationships/hyperlink" Target="http://office.microsoft.com/client/15/help/preview?AssetId=HA102752980&amp;lcid=1033&amp;NS=EXCEL&amp;Version=15&amp;tl=2&amp;CTT=5&amp;origin=HA102752955" TargetMode="External"/><Relationship Id="rId313" Type="http://schemas.openxmlformats.org/officeDocument/2006/relationships/hyperlink" Target="http://office.microsoft.com/client/15/help/preview?AssetId=HA102752850&amp;lcid=1033&amp;NS=EXCEL&amp;Version=15&amp;tl=2&amp;CTT=5&amp;origin=HA102752955" TargetMode="External"/><Relationship Id="rId10" Type="http://schemas.openxmlformats.org/officeDocument/2006/relationships/hyperlink" Target="http://office.microsoft.com/client/15/help/preview?AssetId=HA102753198&amp;lcid=1033&amp;NS=EXCEL&amp;Version=15&amp;tl=2&amp;CTT=5&amp;origin=HA102752955" TargetMode="External"/><Relationship Id="rId31" Type="http://schemas.openxmlformats.org/officeDocument/2006/relationships/hyperlink" Target="http://office.microsoft.com/client/15/help/preview?AssetId=HA102753176&amp;lcid=1033&amp;NS=EXCEL&amp;Version=15&amp;tl=2&amp;CTT=5&amp;origin=HA102752955" TargetMode="External"/><Relationship Id="rId52" Type="http://schemas.openxmlformats.org/officeDocument/2006/relationships/hyperlink" Target="http://office.microsoft.com/client/15/help/preview?AssetId=HA102753043&amp;lcid=1033&amp;NS=EXCEL&amp;Version=15&amp;tl=2&amp;CTT=5&amp;origin=HA102752955" TargetMode="External"/><Relationship Id="rId73" Type="http://schemas.openxmlformats.org/officeDocument/2006/relationships/hyperlink" Target="http://office.microsoft.com/client/15/help/preview?AssetId=HA102752838&amp;lcid=1033&amp;NS=EXCEL&amp;Version=15&amp;tl=2&amp;CTT=5&amp;origin=HA102752955" TargetMode="External"/><Relationship Id="rId94" Type="http://schemas.openxmlformats.org/officeDocument/2006/relationships/hyperlink" Target="http://office.microsoft.com/client/15/help/preview?AssetId=HA102753087&amp;lcid=1033&amp;NS=EXCEL&amp;Version=15&amp;tl=2&amp;CTT=5&amp;origin=HA102752955" TargetMode="External"/><Relationship Id="rId148" Type="http://schemas.openxmlformats.org/officeDocument/2006/relationships/hyperlink" Target="http://office.microsoft.com/client/15/help/preview?AssetId=HA102753061&amp;lcid=1033&amp;NS=EXCEL&amp;Version=15&amp;tl=2&amp;CTT=5&amp;origin=HA102752955" TargetMode="External"/><Relationship Id="rId169" Type="http://schemas.openxmlformats.org/officeDocument/2006/relationships/hyperlink" Target="http://office.microsoft.com/client/15/help/preview?AssetId=HA102752911&amp;lcid=1033&amp;NS=EXCEL&amp;Version=15&amp;tl=2&amp;CTT=5&amp;origin=HA102752955" TargetMode="External"/><Relationship Id="rId334" Type="http://schemas.openxmlformats.org/officeDocument/2006/relationships/hyperlink" Target="http://office.microsoft.com/client/15/help/preview?AssetId=HA102753224&amp;lcid=1033&amp;NS=EXCEL&amp;Version=15&amp;tl=2&amp;CTT=5&amp;origin=HA102752955" TargetMode="External"/><Relationship Id="rId355" Type="http://schemas.openxmlformats.org/officeDocument/2006/relationships/hyperlink" Target="http://office.microsoft.com/client/15/help/preview?AssetId=HA102753155&amp;lcid=1033&amp;NS=EXCEL&amp;Version=15&amp;tl=2&amp;CTT=5&amp;origin=HA102752955" TargetMode="External"/><Relationship Id="rId376" Type="http://schemas.openxmlformats.org/officeDocument/2006/relationships/hyperlink" Target="http://office.microsoft.com/client/15/help/preview?AssetId=HA102753222&amp;lcid=1033&amp;NS=EXCEL&amp;Version=15&amp;tl=2&amp;CTT=5&amp;origin=HA102752955" TargetMode="External"/><Relationship Id="rId397" Type="http://schemas.openxmlformats.org/officeDocument/2006/relationships/hyperlink" Target="http://office.microsoft.com/client/15/help/preview?AssetId=HA102752877&amp;lcid=1033&amp;NS=EXCEL&amp;Version=15&amp;tl=2&amp;CTT=5&amp;origin=HA102752955" TargetMode="External"/><Relationship Id="rId4" Type="http://schemas.openxmlformats.org/officeDocument/2006/relationships/hyperlink" Target="http://office.microsoft.com/client/15/help/preview?AssetId=HA102753204&amp;lcid=1033&amp;NS=EXCEL&amp;Version=15&amp;tl=2&amp;CTT=5&amp;origin=HA102752955" TargetMode="External"/><Relationship Id="rId180" Type="http://schemas.openxmlformats.org/officeDocument/2006/relationships/hyperlink" Target="http://office.microsoft.com/client/15/help/preview?AssetId=HA102752868&amp;lcid=1033&amp;NS=EXCEL&amp;Version=15&amp;tl=2&amp;CTT=5&amp;origin=HA102752955" TargetMode="External"/><Relationship Id="rId215" Type="http://schemas.openxmlformats.org/officeDocument/2006/relationships/hyperlink" Target="http://office.microsoft.com/client/15/help/preview?AssetId=HA102753281&amp;lcid=1033&amp;NS=EXCEL&amp;Version=15&amp;tl=2&amp;CTT=5&amp;origin=HA102752955" TargetMode="External"/><Relationship Id="rId236" Type="http://schemas.openxmlformats.org/officeDocument/2006/relationships/hyperlink" Target="http://office.microsoft.com/client/15/help/preview?AssetId=HA102752876&amp;lcid=1033&amp;NS=EXCEL&amp;Version=15&amp;tl=2&amp;CTT=5&amp;origin=HA102752955" TargetMode="External"/><Relationship Id="rId257" Type="http://schemas.openxmlformats.org/officeDocument/2006/relationships/hyperlink" Target="http://office.microsoft.com/client/15/help/preview?AssetId=HA102753083&amp;lcid=1033&amp;NS=EXCEL&amp;Version=15&amp;tl=2&amp;CTT=5&amp;origin=HA102752955" TargetMode="External"/><Relationship Id="rId278" Type="http://schemas.openxmlformats.org/officeDocument/2006/relationships/hyperlink" Target="http://office.microsoft.com/client/15/help/preview?AssetId=HA102752952&amp;lcid=1033&amp;NS=EXCEL&amp;Version=15&amp;tl=2&amp;CTT=5&amp;origin=HA102752955" TargetMode="External"/><Relationship Id="rId401" Type="http://schemas.openxmlformats.org/officeDocument/2006/relationships/hyperlink" Target="http://office.microsoft.com/client/15/help/preview?AssetId=HA102752866&amp;lcid=1033&amp;NS=EXCEL&amp;Version=15&amp;tl=2&amp;CTT=5&amp;origin=HA102752955" TargetMode="External"/><Relationship Id="rId422" Type="http://schemas.openxmlformats.org/officeDocument/2006/relationships/hyperlink" Target="http://office.microsoft.com/client/15/help/preview?AssetId=HA102753116&amp;lcid=1033&amp;NS=EXCEL&amp;Version=15&amp;tl=2&amp;CTT=5&amp;origin=HA102752955" TargetMode="External"/><Relationship Id="rId443" Type="http://schemas.openxmlformats.org/officeDocument/2006/relationships/hyperlink" Target="http://office.microsoft.com/client/15/help/preview?AssetId=HA102752875&amp;lcid=1033&amp;NS=EXCEL&amp;Version=15&amp;tl=2&amp;CTT=5&amp;origin=HA102752955" TargetMode="External"/><Relationship Id="rId303" Type="http://schemas.openxmlformats.org/officeDocument/2006/relationships/hyperlink" Target="http://office.microsoft.com/client/15/help/preview?AssetId=HA102752870&amp;lcid=1033&amp;NS=EXCEL&amp;Version=15&amp;tl=2&amp;CTT=5&amp;origin=HA102752955" TargetMode="External"/><Relationship Id="rId42" Type="http://schemas.openxmlformats.org/officeDocument/2006/relationships/hyperlink" Target="http://office.microsoft.com/client/15/help/preview?AssetId=HA102753233&amp;lcid=1033&amp;NS=EXCEL&amp;Version=15&amp;tl=2&amp;CTT=5&amp;origin=HA102752955" TargetMode="External"/><Relationship Id="rId84" Type="http://schemas.openxmlformats.org/officeDocument/2006/relationships/hyperlink" Target="http://office.microsoft.com/client/15/help/preview?AssetId=HA102753103&amp;lcid=1033&amp;NS=EXCEL&amp;Version=15&amp;tl=2&amp;CTT=5&amp;origin=HA102752955" TargetMode="External"/><Relationship Id="rId138" Type="http://schemas.openxmlformats.org/officeDocument/2006/relationships/hyperlink" Target="http://office.microsoft.com/client/15/help/preview?AssetId=HA102753121&amp;lcid=1033&amp;NS=EXCEL&amp;Version=15&amp;tl=2&amp;CTT=5&amp;origin=HA102752955" TargetMode="External"/><Relationship Id="rId345" Type="http://schemas.openxmlformats.org/officeDocument/2006/relationships/hyperlink" Target="http://office.microsoft.com/client/15/help/preview?AssetId=HA102753243&amp;lcid=1033&amp;NS=EXCEL&amp;Version=15&amp;tl=2&amp;CTT=5&amp;origin=HA102752955" TargetMode="External"/><Relationship Id="rId387" Type="http://schemas.openxmlformats.org/officeDocument/2006/relationships/hyperlink" Target="http://office.microsoft.com/client/15/help/preview?AssetId=HA102753142&amp;lcid=1033&amp;NS=EXCEL&amp;Version=15&amp;tl=2&amp;CTT=5&amp;origin=HA102752955" TargetMode="External"/><Relationship Id="rId191" Type="http://schemas.openxmlformats.org/officeDocument/2006/relationships/hyperlink" Target="http://office.microsoft.com/client/15/help/preview?AssetId=HA102753096&amp;lcid=1033&amp;NS=EXCEL&amp;Version=15&amp;tl=2&amp;CTT=5&amp;origin=HA102752955" TargetMode="External"/><Relationship Id="rId205" Type="http://schemas.openxmlformats.org/officeDocument/2006/relationships/hyperlink" Target="http://office.microsoft.com/client/15/help/preview?AssetId=HA102752966&amp;lcid=1033&amp;NS=EXCEL&amp;Version=15&amp;tl=2&amp;CTT=5&amp;origin=HA102752955" TargetMode="External"/><Relationship Id="rId247" Type="http://schemas.openxmlformats.org/officeDocument/2006/relationships/hyperlink" Target="http://office.microsoft.com/client/15/help/preview?AssetId=HA102753113&amp;lcid=1033&amp;NS=EXCEL&amp;Version=15&amp;tl=2&amp;CTT=5&amp;origin=HA102752955" TargetMode="External"/><Relationship Id="rId412" Type="http://schemas.openxmlformats.org/officeDocument/2006/relationships/hyperlink" Target="http://office.microsoft.com/client/15/help/preview?AssetId=HA102753136&amp;lcid=1033&amp;NS=EXCEL&amp;Version=15&amp;tl=2&amp;CTT=5&amp;origin=HA102752955" TargetMode="External"/><Relationship Id="rId107" Type="http://schemas.openxmlformats.org/officeDocument/2006/relationships/hyperlink" Target="http://office.microsoft.com/client/15/help/preview?AssetId=HA102752999&amp;lcid=1033&amp;NS=EXCEL&amp;Version=15&amp;tl=2&amp;CTT=5&amp;origin=HA102752955" TargetMode="External"/><Relationship Id="rId289" Type="http://schemas.openxmlformats.org/officeDocument/2006/relationships/hyperlink" Target="http://office.microsoft.com/client/15/help/preview?AssetId=HA102752896&amp;lcid=1033&amp;NS=EXCEL&amp;Version=15&amp;tl=2&amp;CTT=5&amp;origin=HA102752955" TargetMode="External"/><Relationship Id="rId454" Type="http://schemas.openxmlformats.org/officeDocument/2006/relationships/hyperlink" Target="http://office.microsoft.com/client/15/help/preview?AssetId=HA102752887&amp;lcid=1033&amp;NS=EXCEL&amp;Version=15&amp;tl=2&amp;CTT=5&amp;origin=HA102752955" TargetMode="External"/><Relationship Id="rId11" Type="http://schemas.openxmlformats.org/officeDocument/2006/relationships/hyperlink" Target="http://office.microsoft.com/client/15/help/preview?AssetId=HA102753197&amp;lcid=1033&amp;NS=EXCEL&amp;Version=15&amp;tl=2&amp;CTT=5&amp;origin=HA102752955" TargetMode="External"/><Relationship Id="rId53" Type="http://schemas.openxmlformats.org/officeDocument/2006/relationships/hyperlink" Target="http://office.microsoft.com/client/15/help/preview?AssetId=HA102753042&amp;lcid=1033&amp;NS=EXCEL&amp;Version=15&amp;tl=2&amp;CTT=5&amp;origin=HA102752955" TargetMode="External"/><Relationship Id="rId149" Type="http://schemas.openxmlformats.org/officeDocument/2006/relationships/hyperlink" Target="http://office.microsoft.com/client/15/help/preview?AssetId=HA102753057&amp;lcid=1033&amp;NS=EXCEL&amp;Version=15&amp;tl=2&amp;CTT=5&amp;origin=HA102752955" TargetMode="External"/><Relationship Id="rId314" Type="http://schemas.openxmlformats.org/officeDocument/2006/relationships/hyperlink" Target="http://office.microsoft.com/client/15/help/preview?AssetId=HA102752849&amp;lcid=1033&amp;NS=EXCEL&amp;Version=15&amp;tl=2&amp;CTT=5&amp;origin=HA102752955" TargetMode="External"/><Relationship Id="rId356" Type="http://schemas.openxmlformats.org/officeDocument/2006/relationships/hyperlink" Target="http://office.microsoft.com/client/15/help/preview?AssetId=HA102753154&amp;lcid=1033&amp;NS=EXCEL&amp;Version=15&amp;tl=2&amp;CTT=5&amp;origin=HA102752955" TargetMode="External"/><Relationship Id="rId398" Type="http://schemas.openxmlformats.org/officeDocument/2006/relationships/hyperlink" Target="http://office.microsoft.com/client/15/help/preview?AssetId=HA102752869&amp;lcid=1033&amp;NS=EXCEL&amp;Version=15&amp;tl=2&amp;CTT=5&amp;origin=HA102752955" TargetMode="External"/><Relationship Id="rId95" Type="http://schemas.openxmlformats.org/officeDocument/2006/relationships/hyperlink" Target="http://office.microsoft.com/client/15/help/preview?AssetId=HA102753208&amp;lcid=1033&amp;NS=EXCEL&amp;Version=15&amp;tl=2&amp;CTT=5&amp;origin=HA102752955" TargetMode="External"/><Relationship Id="rId160" Type="http://schemas.openxmlformats.org/officeDocument/2006/relationships/hyperlink" Target="http://office.microsoft.com/client/15/help/preview?AssetId=HA102752963&amp;lcid=1033&amp;NS=EXCEL&amp;Version=15&amp;tl=2&amp;CTT=5&amp;origin=HA102752955" TargetMode="External"/><Relationship Id="rId216" Type="http://schemas.openxmlformats.org/officeDocument/2006/relationships/hyperlink" Target="http://office.microsoft.com/client/15/help/preview?AssetId=HA102752922&amp;lcid=1033&amp;NS=EXCEL&amp;Version=15&amp;tl=2&amp;CTT=5&amp;origin=HA102752955" TargetMode="External"/><Relationship Id="rId423" Type="http://schemas.openxmlformats.org/officeDocument/2006/relationships/hyperlink" Target="http://office.microsoft.com/client/15/help/preview?AssetId=HA102753106&amp;lcid=1033&amp;NS=EXCEL&amp;Version=15&amp;tl=2&amp;CTT=5&amp;origin=HA102752955" TargetMode="External"/><Relationship Id="rId258" Type="http://schemas.openxmlformats.org/officeDocument/2006/relationships/hyperlink" Target="http://office.microsoft.com/client/15/help/preview?AssetId=HA102753082&amp;lcid=1033&amp;NS=EXCEL&amp;Version=15&amp;tl=2&amp;CTT=5&amp;origin=HA102752955" TargetMode="External"/><Relationship Id="rId22" Type="http://schemas.openxmlformats.org/officeDocument/2006/relationships/hyperlink" Target="http://office.microsoft.com/client/15/help/preview?AssetId=HA102753185&amp;lcid=1033&amp;NS=EXCEL&amp;Version=15&amp;tl=2&amp;CTT=5&amp;origin=HA102752955" TargetMode="External"/><Relationship Id="rId64" Type="http://schemas.openxmlformats.org/officeDocument/2006/relationships/hyperlink" Target="http://office.microsoft.com/client/15/help/preview?AssetId=HA102753032&amp;lcid=1033&amp;NS=EXCEL&amp;Version=15&amp;tl=2&amp;CTT=5&amp;origin=HA102752955" TargetMode="External"/><Relationship Id="rId118" Type="http://schemas.openxmlformats.org/officeDocument/2006/relationships/hyperlink" Target="http://office.microsoft.com/client/15/help/preview?AssetId=HA102752987&amp;lcid=1033&amp;NS=EXCEL&amp;Version=15&amp;tl=2&amp;CTT=5&amp;origin=HA102752955" TargetMode="External"/><Relationship Id="rId325" Type="http://schemas.openxmlformats.org/officeDocument/2006/relationships/hyperlink" Target="http://office.microsoft.com/client/15/help/preview?AssetId=HA102753166&amp;lcid=1033&amp;NS=EXCEL&amp;Version=15&amp;tl=2&amp;CTT=5&amp;origin=HA102752955" TargetMode="External"/><Relationship Id="rId367" Type="http://schemas.openxmlformats.org/officeDocument/2006/relationships/hyperlink" Target="http://office.microsoft.com/client/15/help/preview?AssetId=HA102752956&amp;lcid=1033&amp;NS=EXCEL&amp;Version=15&amp;tl=2&amp;CTT=5&amp;origin=HA102752955" TargetMode="External"/><Relationship Id="rId171" Type="http://schemas.openxmlformats.org/officeDocument/2006/relationships/hyperlink" Target="http://office.microsoft.com/client/15/help/preview?AssetId=HA102752903&amp;lcid=1033&amp;NS=EXCEL&amp;Version=15&amp;tl=2&amp;CTT=5&amp;origin=HA102752955" TargetMode="External"/><Relationship Id="rId227" Type="http://schemas.openxmlformats.org/officeDocument/2006/relationships/hyperlink" Target="http://office.microsoft.com/client/15/help/preview?AssetId=HA102752997&amp;lcid=1033&amp;NS=EXCEL&amp;Version=15&amp;tl=2&amp;CTT=5&amp;origin=HA102752955" TargetMode="External"/><Relationship Id="rId269" Type="http://schemas.openxmlformats.org/officeDocument/2006/relationships/hyperlink" Target="http://office.microsoft.com/client/15/help/preview?AssetId=HA102753013&amp;lcid=1033&amp;NS=EXCEL&amp;Version=15&amp;tl=2&amp;CTT=5&amp;origin=HA102752955" TargetMode="External"/><Relationship Id="rId434" Type="http://schemas.openxmlformats.org/officeDocument/2006/relationships/hyperlink" Target="http://office.microsoft.com/client/15/help/preview?AssetId=HA102752957&amp;lcid=1033&amp;NS=EXCEL&amp;Version=15&amp;tl=2&amp;CTT=5&amp;origin=HA102752955" TargetMode="External"/><Relationship Id="rId33" Type="http://schemas.openxmlformats.org/officeDocument/2006/relationships/hyperlink" Target="http://office.microsoft.com/client/15/help/preview?AssetId=HA102753174&amp;lcid=1033&amp;NS=EXCEL&amp;Version=15&amp;tl=2&amp;CTT=5&amp;origin=HA102752955" TargetMode="External"/><Relationship Id="rId129" Type="http://schemas.openxmlformats.org/officeDocument/2006/relationships/hyperlink" Target="http://office.microsoft.com/client/15/help/preview?AssetId=HA102752979&amp;lcid=1033&amp;NS=EXCEL&amp;Version=15&amp;tl=2&amp;CTT=5&amp;origin=HA102752955" TargetMode="External"/><Relationship Id="rId280" Type="http://schemas.openxmlformats.org/officeDocument/2006/relationships/hyperlink" Target="http://office.microsoft.com/client/15/help/preview?AssetId=HA102752933&amp;lcid=1033&amp;NS=EXCEL&amp;Version=15&amp;tl=2&amp;CTT=5&amp;origin=HA102752955" TargetMode="External"/><Relationship Id="rId336" Type="http://schemas.openxmlformats.org/officeDocument/2006/relationships/hyperlink" Target="http://office.microsoft.com/client/15/help/preview?AssetId=HA102753081&amp;lcid=1033&amp;NS=EXCEL&amp;Version=15&amp;tl=2&amp;CTT=5&amp;origin=HA102752955" TargetMode="External"/><Relationship Id="rId75" Type="http://schemas.openxmlformats.org/officeDocument/2006/relationships/hyperlink" Target="http://office.microsoft.com/client/15/help/preview?AssetId=HA102752836&amp;lcid=1033&amp;NS=EXCEL&amp;Version=15&amp;tl=2&amp;CTT=5&amp;origin=HA102752955" TargetMode="External"/><Relationship Id="rId140" Type="http://schemas.openxmlformats.org/officeDocument/2006/relationships/hyperlink" Target="http://office.microsoft.com/client/15/help/preview?AssetId=HA102753076&amp;lcid=1033&amp;NS=EXCEL&amp;Version=15&amp;tl=2&amp;CTT=5&amp;origin=HA102752955" TargetMode="External"/><Relationship Id="rId182" Type="http://schemas.openxmlformats.org/officeDocument/2006/relationships/hyperlink" Target="http://office.microsoft.com/client/15/help/preview?AssetId=HA102752843&amp;lcid=1033&amp;NS=EXCEL&amp;Version=15&amp;tl=2&amp;CTT=5&amp;origin=HA102752955" TargetMode="External"/><Relationship Id="rId378" Type="http://schemas.openxmlformats.org/officeDocument/2006/relationships/hyperlink" Target="http://office.microsoft.com/client/15/help/preview?AssetId=HA102753149&amp;lcid=1033&amp;NS=EXCEL&amp;Version=15&amp;tl=2&amp;CTT=5&amp;origin=HA102752955" TargetMode="External"/><Relationship Id="rId403" Type="http://schemas.openxmlformats.org/officeDocument/2006/relationships/hyperlink" Target="http://office.microsoft.com/client/15/help/preview?AssetId=HA102753129&amp;lcid=1033&amp;NS=EXCEL&amp;Version=15&amp;tl=2&amp;CTT=5&amp;origin=HA102752955" TargetMode="External"/><Relationship Id="rId6" Type="http://schemas.openxmlformats.org/officeDocument/2006/relationships/hyperlink" Target="http://office.microsoft.com/client/15/help/preview?AssetId=HA102753202&amp;lcid=1033&amp;NS=EXCEL&amp;Version=15&amp;tl=2&amp;CTT=5&amp;origin=HA102752955" TargetMode="External"/><Relationship Id="rId238" Type="http://schemas.openxmlformats.org/officeDocument/2006/relationships/hyperlink" Target="http://office.microsoft.com/client/15/help/preview?AssetId=HA102752820&amp;lcid=1033&amp;NS=EXCEL&amp;Version=15&amp;tl=2&amp;CTT=5&amp;origin=HA102752955" TargetMode="External"/><Relationship Id="rId445" Type="http://schemas.openxmlformats.org/officeDocument/2006/relationships/hyperlink" Target="http://office.microsoft.com/client/15/help/preview?AssetId=HA102752846&amp;lcid=1033&amp;NS=EXCEL&amp;Version=15&amp;tl=2&amp;CTT=5&amp;origin=HA102752955"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uga.rivals.com/croster.asp"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hyperlink" Target="http://uga.rivals.com/croster.asp"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uga.rivals.com/croster.asp"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uga.rivals.com/croster.asp" TargetMode="Externa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en.wikipedia.org/wiki/Sample_size" TargetMode="Externa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5.xml.rels><?xml version="1.0" encoding="UTF-8" standalone="yes"?>
<Relationships xmlns="http://schemas.openxmlformats.org/package/2006/relationships"><Relationship Id="rId8" Type="http://schemas.openxmlformats.org/officeDocument/2006/relationships/hyperlink" Target="http://office.microsoft.com/en-us/excel-help/steyx-HP005209284.aspx?CTT=3" TargetMode="External"/><Relationship Id="rId3" Type="http://schemas.openxmlformats.org/officeDocument/2006/relationships/hyperlink" Target="http://office.microsoft.com/en-us/excel-help/redir/HP005209155.aspx?CTT=3" TargetMode="External"/><Relationship Id="rId7" Type="http://schemas.openxmlformats.org/officeDocument/2006/relationships/hyperlink" Target="http://office.microsoft.com/en-us/excel-help/redir/HP005209264.aspx?CTT=3" TargetMode="External"/><Relationship Id="rId2" Type="http://schemas.openxmlformats.org/officeDocument/2006/relationships/hyperlink" Target="http://office.microsoft.com/en-us/excel-help/redir/HP005209143.aspx?CTT=3" TargetMode="External"/><Relationship Id="rId1" Type="http://schemas.openxmlformats.org/officeDocument/2006/relationships/hyperlink" Target="http://office.microsoft.com/en-us/excel-help/pearson-HP005209210.aspx" TargetMode="External"/><Relationship Id="rId6" Type="http://schemas.openxmlformats.org/officeDocument/2006/relationships/hyperlink" Target="http://office.microsoft.com/en-us/excel-help/redir/HP005209247.aspx?CTT=3" TargetMode="External"/><Relationship Id="rId5" Type="http://schemas.openxmlformats.org/officeDocument/2006/relationships/hyperlink" Target="http://office.microsoft.com/en-us/excel-help/redir/HP005209210.aspx?CTT=3" TargetMode="External"/><Relationship Id="rId4" Type="http://schemas.openxmlformats.org/officeDocument/2006/relationships/hyperlink" Target="http://office.microsoft.com/en-us/excel-help/redir/HP005209159.aspx?CTT=3" TargetMode="External"/><Relationship Id="rId9" Type="http://schemas.openxmlformats.org/officeDocument/2006/relationships/drawing" Target="../drawings/drawing26.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89"/>
  <sheetViews>
    <sheetView showGridLines="0" zoomScale="91" zoomScaleNormal="91" workbookViewId="0">
      <selection activeCell="K12" sqref="K12"/>
    </sheetView>
  </sheetViews>
  <sheetFormatPr defaultColWidth="9.109375" defaultRowHeight="15.6" x14ac:dyDescent="0.3"/>
  <cols>
    <col min="1" max="1" width="9.109375" style="317"/>
    <col min="2" max="2" width="54.33203125" style="630" customWidth="1"/>
    <col min="3" max="3" width="13.6640625" style="317" customWidth="1"/>
    <col min="4" max="14" width="9.109375" style="317"/>
    <col min="15" max="15" width="23.109375" style="317" customWidth="1"/>
    <col min="16" max="32" width="9.109375" style="317"/>
    <col min="33" max="33" width="9.109375" style="654"/>
    <col min="34" max="16384" width="9.109375" style="317"/>
  </cols>
  <sheetData>
    <row r="1" spans="1:48" ht="25.8" x14ac:dyDescent="0.5">
      <c r="B1" s="629" t="s">
        <v>2816</v>
      </c>
      <c r="C1" s="631"/>
      <c r="F1" s="639" t="s">
        <v>2818</v>
      </c>
    </row>
    <row r="2" spans="1:48" x14ac:dyDescent="0.3">
      <c r="B2" s="683" t="s">
        <v>2817</v>
      </c>
    </row>
    <row r="3" spans="1:48" x14ac:dyDescent="0.3">
      <c r="B3" s="681" t="s">
        <v>3011</v>
      </c>
    </row>
    <row r="4" spans="1:48" ht="16.2" thickBot="1" x14ac:dyDescent="0.35">
      <c r="B4" s="682" t="s">
        <v>3010</v>
      </c>
      <c r="C4" s="678"/>
      <c r="D4" s="678"/>
      <c r="E4" s="678"/>
      <c r="F4" s="678"/>
      <c r="G4" s="678"/>
      <c r="H4" s="678"/>
      <c r="I4" s="678"/>
      <c r="O4" s="654"/>
      <c r="P4" s="654"/>
      <c r="Q4" s="654"/>
    </row>
    <row r="5" spans="1:48" x14ac:dyDescent="0.3">
      <c r="B5" s="679"/>
      <c r="C5" s="680"/>
      <c r="D5" s="680"/>
      <c r="E5" s="680"/>
      <c r="F5" s="680"/>
      <c r="G5" s="680"/>
      <c r="H5" s="680"/>
      <c r="I5" s="680"/>
      <c r="O5" s="654"/>
      <c r="P5" s="654"/>
      <c r="Q5" s="654"/>
    </row>
    <row r="6" spans="1:48" x14ac:dyDescent="0.3">
      <c r="A6" s="317">
        <v>1</v>
      </c>
      <c r="B6" s="656" t="s">
        <v>2820</v>
      </c>
      <c r="H6" s="655"/>
      <c r="P6" s="652"/>
    </row>
    <row r="7" spans="1:48" x14ac:dyDescent="0.3">
      <c r="A7" s="317">
        <v>2</v>
      </c>
      <c r="B7" s="656" t="s">
        <v>2821</v>
      </c>
      <c r="H7" s="655"/>
      <c r="P7" s="652"/>
    </row>
    <row r="8" spans="1:48" x14ac:dyDescent="0.3">
      <c r="A8" s="317">
        <v>3</v>
      </c>
      <c r="B8" s="656" t="s">
        <v>2822</v>
      </c>
      <c r="H8" s="655"/>
      <c r="P8" s="652"/>
    </row>
    <row r="9" spans="1:48" x14ac:dyDescent="0.3">
      <c r="A9" s="317">
        <v>4</v>
      </c>
      <c r="B9" s="656" t="s">
        <v>2823</v>
      </c>
      <c r="H9" s="655"/>
      <c r="P9" s="652"/>
    </row>
    <row r="10" spans="1:48" x14ac:dyDescent="0.3">
      <c r="A10" s="317">
        <v>5</v>
      </c>
      <c r="B10" s="656" t="s">
        <v>2824</v>
      </c>
      <c r="H10" s="655"/>
      <c r="P10" s="652"/>
    </row>
    <row r="11" spans="1:48" x14ac:dyDescent="0.3">
      <c r="A11" s="317">
        <v>6</v>
      </c>
      <c r="B11" s="656" t="s">
        <v>2825</v>
      </c>
      <c r="H11" s="655"/>
      <c r="P11" s="652"/>
    </row>
    <row r="12" spans="1:48" x14ac:dyDescent="0.3">
      <c r="A12" s="317">
        <v>7</v>
      </c>
      <c r="B12" s="657" t="s">
        <v>2826</v>
      </c>
      <c r="H12" s="655"/>
      <c r="P12" s="652"/>
      <c r="AV12" s="654" t="s">
        <v>2819</v>
      </c>
    </row>
    <row r="13" spans="1:48" x14ac:dyDescent="0.3">
      <c r="A13" s="317">
        <v>8</v>
      </c>
      <c r="B13" s="657" t="s">
        <v>2827</v>
      </c>
      <c r="H13" s="655"/>
      <c r="P13" s="652"/>
    </row>
    <row r="14" spans="1:48" x14ac:dyDescent="0.3">
      <c r="A14" s="317">
        <v>9</v>
      </c>
      <c r="B14" s="657" t="s">
        <v>2828</v>
      </c>
      <c r="H14" s="655"/>
      <c r="P14" s="652"/>
    </row>
    <row r="15" spans="1:48" x14ac:dyDescent="0.3">
      <c r="A15" s="317">
        <v>10</v>
      </c>
      <c r="B15" s="657" t="s">
        <v>2829</v>
      </c>
      <c r="H15" s="655"/>
      <c r="P15" s="652"/>
    </row>
    <row r="16" spans="1:48" x14ac:dyDescent="0.3">
      <c r="A16" s="317">
        <v>11</v>
      </c>
      <c r="B16" s="657" t="s">
        <v>2830</v>
      </c>
      <c r="H16" s="655"/>
      <c r="P16" s="652"/>
    </row>
    <row r="17" spans="1:16" x14ac:dyDescent="0.3">
      <c r="A17" s="317">
        <v>12</v>
      </c>
      <c r="B17" s="657" t="s">
        <v>2831</v>
      </c>
      <c r="H17" s="655"/>
      <c r="P17" s="652"/>
    </row>
    <row r="18" spans="1:16" x14ac:dyDescent="0.3">
      <c r="A18" s="317">
        <v>13</v>
      </c>
      <c r="B18" s="657" t="s">
        <v>2832</v>
      </c>
      <c r="H18" s="655"/>
      <c r="P18" s="652"/>
    </row>
    <row r="19" spans="1:16" x14ac:dyDescent="0.3">
      <c r="A19" s="317">
        <v>14</v>
      </c>
      <c r="B19" s="657" t="s">
        <v>2833</v>
      </c>
      <c r="H19"/>
      <c r="P19" s="652"/>
    </row>
    <row r="20" spans="1:16" x14ac:dyDescent="0.3">
      <c r="A20" s="317">
        <v>15</v>
      </c>
      <c r="B20" s="657" t="s">
        <v>2834</v>
      </c>
      <c r="H20" s="655"/>
      <c r="P20" s="652"/>
    </row>
    <row r="21" spans="1:16" x14ac:dyDescent="0.3">
      <c r="A21" s="317">
        <v>16</v>
      </c>
      <c r="B21" s="657" t="s">
        <v>2835</v>
      </c>
      <c r="H21" s="655"/>
      <c r="P21" s="652"/>
    </row>
    <row r="22" spans="1:16" x14ac:dyDescent="0.3">
      <c r="A22" s="317">
        <v>17</v>
      </c>
      <c r="B22" s="657" t="s">
        <v>2836</v>
      </c>
      <c r="H22" s="655"/>
      <c r="P22" s="652"/>
    </row>
    <row r="23" spans="1:16" x14ac:dyDescent="0.3">
      <c r="A23" s="317">
        <v>18</v>
      </c>
      <c r="B23" s="657" t="s">
        <v>2837</v>
      </c>
      <c r="H23" s="655"/>
      <c r="P23" s="652"/>
    </row>
    <row r="24" spans="1:16" x14ac:dyDescent="0.3">
      <c r="A24" s="317">
        <v>19</v>
      </c>
      <c r="B24" s="657" t="s">
        <v>2838</v>
      </c>
      <c r="H24" s="655"/>
      <c r="P24" s="652"/>
    </row>
    <row r="25" spans="1:16" x14ac:dyDescent="0.3">
      <c r="A25" s="317">
        <v>20</v>
      </c>
      <c r="B25" s="657" t="s">
        <v>2839</v>
      </c>
      <c r="H25" s="655"/>
      <c r="P25" s="652"/>
    </row>
    <row r="26" spans="1:16" x14ac:dyDescent="0.3">
      <c r="A26" s="317">
        <v>21</v>
      </c>
      <c r="B26" s="657" t="s">
        <v>2840</v>
      </c>
      <c r="H26" s="655"/>
      <c r="P26" s="652"/>
    </row>
    <row r="27" spans="1:16" x14ac:dyDescent="0.3">
      <c r="A27" s="317">
        <v>22</v>
      </c>
      <c r="B27" s="657" t="s">
        <v>2841</v>
      </c>
      <c r="H27" s="655"/>
      <c r="P27" s="652"/>
    </row>
    <row r="28" spans="1:16" x14ac:dyDescent="0.3">
      <c r="A28" s="317">
        <v>23</v>
      </c>
      <c r="B28" s="657" t="s">
        <v>2842</v>
      </c>
      <c r="H28" s="655"/>
      <c r="P28" s="652"/>
    </row>
    <row r="29" spans="1:16" x14ac:dyDescent="0.3">
      <c r="A29" s="317">
        <v>24</v>
      </c>
      <c r="B29" s="657" t="s">
        <v>2843</v>
      </c>
      <c r="H29" s="655"/>
      <c r="P29" s="652"/>
    </row>
    <row r="30" spans="1:16" x14ac:dyDescent="0.3">
      <c r="A30" s="317">
        <v>25</v>
      </c>
      <c r="B30" s="657" t="s">
        <v>2844</v>
      </c>
      <c r="H30" s="655"/>
      <c r="P30" s="652"/>
    </row>
    <row r="31" spans="1:16" x14ac:dyDescent="0.3">
      <c r="A31" s="317">
        <v>26</v>
      </c>
      <c r="B31" s="657" t="s">
        <v>2845</v>
      </c>
      <c r="H31" s="655"/>
      <c r="P31" s="652"/>
    </row>
    <row r="32" spans="1:16" x14ac:dyDescent="0.3">
      <c r="A32" s="317">
        <v>27</v>
      </c>
      <c r="B32" s="657" t="s">
        <v>2846</v>
      </c>
      <c r="H32" s="655"/>
      <c r="P32" s="652"/>
    </row>
    <row r="33" spans="1:16" x14ac:dyDescent="0.3">
      <c r="A33" s="317">
        <v>28</v>
      </c>
      <c r="B33" s="657" t="s">
        <v>2847</v>
      </c>
      <c r="H33" s="655"/>
      <c r="P33" s="652"/>
    </row>
    <row r="34" spans="1:16" x14ac:dyDescent="0.3">
      <c r="A34" s="317">
        <v>29</v>
      </c>
      <c r="B34" s="657" t="s">
        <v>2848</v>
      </c>
      <c r="H34" s="655"/>
      <c r="P34" s="652"/>
    </row>
    <row r="35" spans="1:16" x14ac:dyDescent="0.3">
      <c r="A35" s="317">
        <v>30</v>
      </c>
      <c r="B35" s="657" t="s">
        <v>2849</v>
      </c>
      <c r="H35" s="655"/>
      <c r="P35" s="652"/>
    </row>
    <row r="36" spans="1:16" x14ac:dyDescent="0.3">
      <c r="A36" s="317">
        <v>31</v>
      </c>
      <c r="B36" s="657" t="s">
        <v>2850</v>
      </c>
      <c r="H36" s="655"/>
      <c r="P36" s="652"/>
    </row>
    <row r="37" spans="1:16" x14ac:dyDescent="0.3">
      <c r="A37" s="317">
        <v>32</v>
      </c>
      <c r="B37" s="657" t="s">
        <v>2851</v>
      </c>
      <c r="H37" s="655"/>
      <c r="P37" s="652"/>
    </row>
    <row r="38" spans="1:16" x14ac:dyDescent="0.3">
      <c r="A38" s="317">
        <v>33</v>
      </c>
      <c r="B38" s="657" t="s">
        <v>2852</v>
      </c>
      <c r="H38" s="655"/>
      <c r="P38" s="652"/>
    </row>
    <row r="39" spans="1:16" x14ac:dyDescent="0.3">
      <c r="A39" s="317">
        <v>34</v>
      </c>
      <c r="B39" s="657" t="s">
        <v>2853</v>
      </c>
      <c r="H39" s="655"/>
      <c r="P39" s="652"/>
    </row>
    <row r="40" spans="1:16" x14ac:dyDescent="0.3">
      <c r="A40" s="317">
        <v>35</v>
      </c>
      <c r="B40" s="657" t="s">
        <v>2854</v>
      </c>
      <c r="H40" s="655"/>
      <c r="P40" s="652"/>
    </row>
    <row r="41" spans="1:16" x14ac:dyDescent="0.3">
      <c r="A41" s="317">
        <v>36</v>
      </c>
      <c r="B41" s="657" t="s">
        <v>2855</v>
      </c>
      <c r="H41" s="655"/>
      <c r="P41" s="652"/>
    </row>
    <row r="42" spans="1:16" x14ac:dyDescent="0.3">
      <c r="A42" s="317">
        <v>37</v>
      </c>
      <c r="B42" s="657" t="s">
        <v>2856</v>
      </c>
      <c r="H42" s="655"/>
      <c r="P42" s="652"/>
    </row>
    <row r="43" spans="1:16" x14ac:dyDescent="0.3">
      <c r="A43" s="317">
        <v>38</v>
      </c>
      <c r="B43" s="657" t="s">
        <v>2857</v>
      </c>
      <c r="H43" s="655"/>
      <c r="P43" s="652"/>
    </row>
    <row r="44" spans="1:16" x14ac:dyDescent="0.3">
      <c r="A44" s="317">
        <v>39</v>
      </c>
      <c r="B44" s="657" t="s">
        <v>2858</v>
      </c>
      <c r="H44" s="655"/>
      <c r="P44" s="652"/>
    </row>
    <row r="45" spans="1:16" x14ac:dyDescent="0.3">
      <c r="A45" s="317">
        <v>40</v>
      </c>
      <c r="B45" s="657" t="s">
        <v>2859</v>
      </c>
      <c r="H45" s="655"/>
      <c r="P45" s="652"/>
    </row>
    <row r="46" spans="1:16" x14ac:dyDescent="0.3">
      <c r="A46" s="317">
        <v>41</v>
      </c>
      <c r="B46" s="657" t="s">
        <v>2860</v>
      </c>
      <c r="H46" s="655"/>
      <c r="P46" s="652"/>
    </row>
    <row r="47" spans="1:16" x14ac:dyDescent="0.3">
      <c r="A47" s="317">
        <v>42</v>
      </c>
      <c r="B47" s="657" t="s">
        <v>2861</v>
      </c>
      <c r="H47" s="655"/>
      <c r="P47" s="652"/>
    </row>
    <row r="48" spans="1:16" x14ac:dyDescent="0.3">
      <c r="A48" s="317">
        <v>43</v>
      </c>
      <c r="B48" s="657" t="s">
        <v>2862</v>
      </c>
      <c r="H48" s="655"/>
      <c r="P48" s="652"/>
    </row>
    <row r="49" spans="1:16" x14ac:dyDescent="0.3">
      <c r="A49" s="317">
        <v>44</v>
      </c>
      <c r="B49" s="657" t="s">
        <v>2863</v>
      </c>
      <c r="H49"/>
      <c r="P49" s="652"/>
    </row>
    <row r="50" spans="1:16" x14ac:dyDescent="0.3">
      <c r="A50" s="317">
        <v>45</v>
      </c>
      <c r="B50" s="657" t="s">
        <v>2864</v>
      </c>
      <c r="H50"/>
      <c r="P50" s="652"/>
    </row>
    <row r="51" spans="1:16" x14ac:dyDescent="0.3">
      <c r="A51" s="317">
        <v>46</v>
      </c>
      <c r="B51" s="657" t="s">
        <v>2865</v>
      </c>
      <c r="H51" s="655"/>
      <c r="P51" s="652"/>
    </row>
    <row r="52" spans="1:16" x14ac:dyDescent="0.3">
      <c r="A52" s="317">
        <v>47</v>
      </c>
      <c r="B52" s="657" t="s">
        <v>2866</v>
      </c>
      <c r="H52" s="655"/>
      <c r="P52" s="652"/>
    </row>
    <row r="53" spans="1:16" x14ac:dyDescent="0.3">
      <c r="A53" s="317">
        <v>48</v>
      </c>
      <c r="B53" s="657" t="s">
        <v>2867</v>
      </c>
      <c r="H53" s="655"/>
      <c r="P53" s="652"/>
    </row>
    <row r="54" spans="1:16" x14ac:dyDescent="0.3">
      <c r="A54" s="317">
        <v>49</v>
      </c>
      <c r="B54" s="657" t="s">
        <v>2868</v>
      </c>
      <c r="H54" s="655"/>
      <c r="P54" s="652"/>
    </row>
    <row r="55" spans="1:16" x14ac:dyDescent="0.3">
      <c r="A55" s="317">
        <v>50</v>
      </c>
      <c r="B55" s="657" t="s">
        <v>2869</v>
      </c>
      <c r="H55" s="655"/>
      <c r="P55" s="652"/>
    </row>
    <row r="56" spans="1:16" x14ac:dyDescent="0.3">
      <c r="A56" s="317">
        <v>51</v>
      </c>
      <c r="B56" s="657" t="s">
        <v>2870</v>
      </c>
      <c r="H56" s="655"/>
      <c r="P56" s="652"/>
    </row>
    <row r="57" spans="1:16" x14ac:dyDescent="0.3">
      <c r="A57" s="317">
        <v>52</v>
      </c>
      <c r="B57" s="657" t="s">
        <v>2871</v>
      </c>
      <c r="H57" s="655"/>
      <c r="P57" s="652"/>
    </row>
    <row r="58" spans="1:16" x14ac:dyDescent="0.3">
      <c r="A58" s="317">
        <v>53</v>
      </c>
      <c r="B58" s="657" t="s">
        <v>2872</v>
      </c>
      <c r="H58" s="655"/>
      <c r="P58" s="652"/>
    </row>
    <row r="59" spans="1:16" x14ac:dyDescent="0.3">
      <c r="A59" s="317">
        <v>54</v>
      </c>
      <c r="B59" s="657" t="s">
        <v>2873</v>
      </c>
      <c r="H59" s="655"/>
      <c r="P59" s="652"/>
    </row>
    <row r="60" spans="1:16" x14ac:dyDescent="0.3">
      <c r="A60" s="317">
        <v>55</v>
      </c>
      <c r="B60" s="657" t="s">
        <v>2874</v>
      </c>
      <c r="H60" s="655"/>
      <c r="P60" s="652"/>
    </row>
    <row r="61" spans="1:16" x14ac:dyDescent="0.3">
      <c r="A61" s="317">
        <v>56</v>
      </c>
      <c r="B61" s="657" t="s">
        <v>2875</v>
      </c>
      <c r="H61" s="655"/>
      <c r="P61" s="652"/>
    </row>
    <row r="62" spans="1:16" x14ac:dyDescent="0.3">
      <c r="A62" s="317">
        <v>57</v>
      </c>
      <c r="B62" s="657" t="s">
        <v>2876</v>
      </c>
      <c r="H62" s="655"/>
      <c r="P62" s="652"/>
    </row>
    <row r="63" spans="1:16" x14ac:dyDescent="0.3">
      <c r="A63" s="317">
        <v>58</v>
      </c>
      <c r="B63" s="657" t="s">
        <v>2877</v>
      </c>
      <c r="H63" s="655"/>
      <c r="P63" s="652"/>
    </row>
    <row r="64" spans="1:16" x14ac:dyDescent="0.3">
      <c r="A64" s="317">
        <v>59</v>
      </c>
      <c r="B64" s="657" t="s">
        <v>2878</v>
      </c>
      <c r="H64" s="655"/>
      <c r="P64" s="652"/>
    </row>
    <row r="65" spans="1:16" x14ac:dyDescent="0.3">
      <c r="A65" s="317">
        <v>60</v>
      </c>
      <c r="B65" s="657" t="s">
        <v>2879</v>
      </c>
      <c r="H65" s="655"/>
      <c r="P65" s="652"/>
    </row>
    <row r="66" spans="1:16" x14ac:dyDescent="0.3">
      <c r="A66" s="317">
        <v>61</v>
      </c>
      <c r="B66" s="657" t="s">
        <v>2880</v>
      </c>
      <c r="H66" s="655"/>
      <c r="P66" s="652"/>
    </row>
    <row r="67" spans="1:16" x14ac:dyDescent="0.3">
      <c r="A67" s="317">
        <v>62</v>
      </c>
      <c r="B67" s="657" t="s">
        <v>2881</v>
      </c>
      <c r="H67" s="655"/>
      <c r="P67" s="652"/>
    </row>
    <row r="68" spans="1:16" x14ac:dyDescent="0.3">
      <c r="A68" s="317">
        <v>63</v>
      </c>
      <c r="B68" s="657" t="s">
        <v>2882</v>
      </c>
      <c r="H68" s="655"/>
      <c r="P68" s="652"/>
    </row>
    <row r="69" spans="1:16" x14ac:dyDescent="0.3">
      <c r="A69" s="317">
        <v>64</v>
      </c>
      <c r="B69" s="657" t="s">
        <v>2883</v>
      </c>
      <c r="H69" s="655"/>
      <c r="P69" s="652"/>
    </row>
    <row r="70" spans="1:16" x14ac:dyDescent="0.3">
      <c r="A70" s="317">
        <v>65</v>
      </c>
      <c r="B70" s="657" t="s">
        <v>2884</v>
      </c>
      <c r="H70" s="655"/>
      <c r="P70" s="652"/>
    </row>
    <row r="71" spans="1:16" x14ac:dyDescent="0.3">
      <c r="A71" s="317">
        <v>66</v>
      </c>
      <c r="B71" s="657" t="s">
        <v>2885</v>
      </c>
      <c r="H71" s="655"/>
      <c r="P71" s="652"/>
    </row>
    <row r="72" spans="1:16" x14ac:dyDescent="0.3">
      <c r="A72" s="317">
        <v>67</v>
      </c>
      <c r="B72" s="657" t="s">
        <v>2886</v>
      </c>
      <c r="H72" s="655"/>
      <c r="P72" s="652"/>
    </row>
    <row r="73" spans="1:16" x14ac:dyDescent="0.3">
      <c r="A73" s="317">
        <v>68</v>
      </c>
      <c r="B73" s="657" t="s">
        <v>2887</v>
      </c>
      <c r="H73" s="655"/>
      <c r="P73" s="652"/>
    </row>
    <row r="74" spans="1:16" x14ac:dyDescent="0.3">
      <c r="A74" s="317">
        <v>69</v>
      </c>
      <c r="B74" s="657" t="s">
        <v>2888</v>
      </c>
      <c r="H74" s="655"/>
      <c r="P74" s="652"/>
    </row>
    <row r="75" spans="1:16" x14ac:dyDescent="0.3">
      <c r="A75" s="317">
        <v>70</v>
      </c>
      <c r="B75" s="657" t="s">
        <v>2889</v>
      </c>
      <c r="H75" s="655"/>
      <c r="P75" s="652"/>
    </row>
    <row r="76" spans="1:16" x14ac:dyDescent="0.3">
      <c r="A76" s="317">
        <v>71</v>
      </c>
      <c r="B76" s="657" t="s">
        <v>2890</v>
      </c>
      <c r="H76" s="655"/>
      <c r="P76" s="652"/>
    </row>
    <row r="77" spans="1:16" x14ac:dyDescent="0.3">
      <c r="A77" s="317">
        <v>72</v>
      </c>
      <c r="B77" s="657" t="s">
        <v>2891</v>
      </c>
      <c r="H77" s="655"/>
      <c r="P77" s="652"/>
    </row>
    <row r="78" spans="1:16" x14ac:dyDescent="0.3">
      <c r="A78" s="317">
        <v>73</v>
      </c>
      <c r="B78" s="657" t="s">
        <v>2892</v>
      </c>
      <c r="H78"/>
      <c r="P78" s="652"/>
    </row>
    <row r="79" spans="1:16" x14ac:dyDescent="0.3">
      <c r="A79" s="317">
        <v>74</v>
      </c>
      <c r="B79" s="657" t="s">
        <v>2893</v>
      </c>
      <c r="H79" s="655"/>
      <c r="P79" s="652"/>
    </row>
    <row r="80" spans="1:16" x14ac:dyDescent="0.3">
      <c r="A80" s="317">
        <v>75</v>
      </c>
      <c r="B80" s="657" t="s">
        <v>2894</v>
      </c>
      <c r="H80" s="655"/>
      <c r="P80" s="652"/>
    </row>
    <row r="81" spans="1:16" x14ac:dyDescent="0.3">
      <c r="A81" s="317">
        <v>76</v>
      </c>
      <c r="B81" s="654" t="s">
        <v>2895</v>
      </c>
      <c r="H81" s="655"/>
      <c r="P81" s="652"/>
    </row>
    <row r="82" spans="1:16" x14ac:dyDescent="0.3">
      <c r="A82" s="317">
        <v>77</v>
      </c>
      <c r="B82" s="654" t="s">
        <v>2896</v>
      </c>
      <c r="H82" s="655"/>
      <c r="P82" s="652"/>
    </row>
    <row r="83" spans="1:16" x14ac:dyDescent="0.3">
      <c r="A83" s="317">
        <v>78</v>
      </c>
      <c r="B83" s="654" t="s">
        <v>2897</v>
      </c>
      <c r="H83" s="655"/>
      <c r="P83" s="652"/>
    </row>
    <row r="84" spans="1:16" x14ac:dyDescent="0.3">
      <c r="A84" s="317">
        <v>79</v>
      </c>
      <c r="B84" s="654" t="s">
        <v>2898</v>
      </c>
      <c r="H84" s="655"/>
      <c r="P84" s="652"/>
    </row>
    <row r="85" spans="1:16" x14ac:dyDescent="0.3">
      <c r="A85" s="317">
        <v>80</v>
      </c>
      <c r="B85" s="654" t="s">
        <v>2899</v>
      </c>
      <c r="H85" s="655"/>
      <c r="P85" s="652"/>
    </row>
    <row r="86" spans="1:16" x14ac:dyDescent="0.3">
      <c r="A86" s="317">
        <v>81</v>
      </c>
      <c r="B86" s="654" t="s">
        <v>2900</v>
      </c>
      <c r="H86" s="655"/>
      <c r="P86" s="652"/>
    </row>
    <row r="87" spans="1:16" x14ac:dyDescent="0.3">
      <c r="A87" s="317">
        <v>82</v>
      </c>
      <c r="B87" s="654" t="s">
        <v>2901</v>
      </c>
      <c r="H87" s="655"/>
      <c r="P87" s="652"/>
    </row>
    <row r="88" spans="1:16" x14ac:dyDescent="0.3">
      <c r="A88" s="317">
        <v>83</v>
      </c>
      <c r="B88" s="654" t="s">
        <v>2902</v>
      </c>
      <c r="H88" s="655"/>
      <c r="P88" s="652"/>
    </row>
    <row r="89" spans="1:16" x14ac:dyDescent="0.3">
      <c r="A89" s="317">
        <v>84</v>
      </c>
      <c r="B89" s="654" t="s">
        <v>2903</v>
      </c>
      <c r="H89" s="655"/>
      <c r="P89" s="652"/>
    </row>
    <row r="90" spans="1:16" x14ac:dyDescent="0.3">
      <c r="A90" s="317">
        <v>85</v>
      </c>
      <c r="B90" s="654" t="s">
        <v>2904</v>
      </c>
      <c r="H90" s="655"/>
      <c r="P90" s="652"/>
    </row>
    <row r="91" spans="1:16" x14ac:dyDescent="0.3">
      <c r="A91" s="317">
        <v>86</v>
      </c>
      <c r="B91" s="654" t="s">
        <v>2905</v>
      </c>
      <c r="H91" s="655"/>
      <c r="P91" s="652"/>
    </row>
    <row r="92" spans="1:16" x14ac:dyDescent="0.3">
      <c r="A92" s="317">
        <v>87</v>
      </c>
      <c r="B92" s="654" t="s">
        <v>2906</v>
      </c>
      <c r="H92" s="655"/>
      <c r="P92" s="652"/>
    </row>
    <row r="93" spans="1:16" x14ac:dyDescent="0.3">
      <c r="A93" s="317">
        <v>88</v>
      </c>
      <c r="B93" s="654" t="s">
        <v>2907</v>
      </c>
      <c r="H93" s="655"/>
      <c r="P93" s="652"/>
    </row>
    <row r="94" spans="1:16" x14ac:dyDescent="0.3">
      <c r="A94" s="317">
        <v>89</v>
      </c>
      <c r="B94" s="654" t="s">
        <v>2908</v>
      </c>
      <c r="H94" s="655"/>
      <c r="P94" s="652"/>
    </row>
    <row r="95" spans="1:16" x14ac:dyDescent="0.3">
      <c r="A95" s="317">
        <v>90</v>
      </c>
      <c r="B95" s="654" t="s">
        <v>2909</v>
      </c>
      <c r="H95" s="655"/>
      <c r="P95" s="652"/>
    </row>
    <row r="96" spans="1:16" x14ac:dyDescent="0.3">
      <c r="A96" s="317">
        <v>91</v>
      </c>
      <c r="B96" s="654" t="s">
        <v>2910</v>
      </c>
      <c r="H96" s="655"/>
      <c r="P96" s="652"/>
    </row>
    <row r="97" spans="1:16" x14ac:dyDescent="0.3">
      <c r="A97" s="317">
        <v>92</v>
      </c>
      <c r="B97" s="654" t="s">
        <v>2911</v>
      </c>
      <c r="H97" s="655"/>
      <c r="P97" s="652"/>
    </row>
    <row r="98" spans="1:16" x14ac:dyDescent="0.3">
      <c r="A98" s="317">
        <v>93</v>
      </c>
      <c r="B98" s="654" t="s">
        <v>2912</v>
      </c>
      <c r="H98" s="655"/>
      <c r="P98" s="652"/>
    </row>
    <row r="99" spans="1:16" x14ac:dyDescent="0.3">
      <c r="A99" s="317">
        <v>94</v>
      </c>
      <c r="B99" s="654" t="s">
        <v>2913</v>
      </c>
      <c r="H99" s="655"/>
      <c r="P99" s="652"/>
    </row>
    <row r="100" spans="1:16" x14ac:dyDescent="0.3">
      <c r="A100" s="317">
        <v>95</v>
      </c>
      <c r="B100" s="654" t="s">
        <v>2914</v>
      </c>
      <c r="H100" s="655"/>
      <c r="P100" s="652"/>
    </row>
    <row r="101" spans="1:16" x14ac:dyDescent="0.3">
      <c r="A101" s="317">
        <v>96</v>
      </c>
      <c r="B101" s="654" t="s">
        <v>2915</v>
      </c>
      <c r="H101" s="655"/>
      <c r="P101" s="652"/>
    </row>
    <row r="102" spans="1:16" x14ac:dyDescent="0.3">
      <c r="A102" s="317">
        <v>97</v>
      </c>
      <c r="B102" s="654" t="s">
        <v>2916</v>
      </c>
      <c r="H102" s="655"/>
      <c r="P102" s="652"/>
    </row>
    <row r="103" spans="1:16" x14ac:dyDescent="0.3">
      <c r="A103" s="317">
        <v>98</v>
      </c>
      <c r="B103" s="654" t="s">
        <v>2917</v>
      </c>
      <c r="H103" s="655"/>
      <c r="P103" s="652"/>
    </row>
    <row r="104" spans="1:16" x14ac:dyDescent="0.3">
      <c r="A104" s="317">
        <v>99</v>
      </c>
      <c r="B104" s="654" t="s">
        <v>2918</v>
      </c>
      <c r="H104" s="655"/>
      <c r="P104" s="652"/>
    </row>
    <row r="105" spans="1:16" x14ac:dyDescent="0.3">
      <c r="A105" s="317">
        <v>100</v>
      </c>
      <c r="B105" s="654" t="s">
        <v>2919</v>
      </c>
      <c r="H105" s="655"/>
      <c r="P105" s="652"/>
    </row>
    <row r="106" spans="1:16" x14ac:dyDescent="0.3">
      <c r="A106" s="317">
        <v>101</v>
      </c>
      <c r="B106" s="654" t="s">
        <v>2920</v>
      </c>
      <c r="H106" s="655"/>
      <c r="P106" s="652"/>
    </row>
    <row r="107" spans="1:16" x14ac:dyDescent="0.3">
      <c r="A107" s="317">
        <v>102</v>
      </c>
      <c r="B107" s="654" t="s">
        <v>2921</v>
      </c>
      <c r="H107" s="655"/>
      <c r="P107" s="652"/>
    </row>
    <row r="108" spans="1:16" x14ac:dyDescent="0.3">
      <c r="A108" s="317">
        <v>103</v>
      </c>
      <c r="B108" s="654" t="s">
        <v>2922</v>
      </c>
      <c r="H108" s="655"/>
      <c r="P108" s="652"/>
    </row>
    <row r="109" spans="1:16" x14ac:dyDescent="0.3">
      <c r="A109" s="317">
        <v>104</v>
      </c>
      <c r="B109" s="654" t="s">
        <v>2923</v>
      </c>
      <c r="H109" s="655"/>
      <c r="P109" s="652"/>
    </row>
    <row r="110" spans="1:16" x14ac:dyDescent="0.3">
      <c r="A110" s="317">
        <v>105</v>
      </c>
      <c r="B110" s="654" t="s">
        <v>2924</v>
      </c>
      <c r="H110" s="655"/>
      <c r="P110" s="652"/>
    </row>
    <row r="111" spans="1:16" x14ac:dyDescent="0.3">
      <c r="A111" s="317">
        <v>106</v>
      </c>
      <c r="B111" s="654" t="s">
        <v>2925</v>
      </c>
      <c r="H111" s="655"/>
      <c r="P111" s="652"/>
    </row>
    <row r="112" spans="1:16" x14ac:dyDescent="0.3">
      <c r="A112" s="317">
        <v>107</v>
      </c>
      <c r="B112" s="654" t="s">
        <v>2926</v>
      </c>
      <c r="H112" s="655"/>
      <c r="P112" s="652"/>
    </row>
    <row r="113" spans="1:16" ht="18" x14ac:dyDescent="0.35">
      <c r="A113" s="317">
        <v>108</v>
      </c>
      <c r="B113" s="654" t="s">
        <v>2927</v>
      </c>
      <c r="H113" s="655"/>
      <c r="P113" s="641"/>
    </row>
    <row r="114" spans="1:16" x14ac:dyDescent="0.3">
      <c r="A114" s="317">
        <v>109</v>
      </c>
      <c r="B114" s="654" t="s">
        <v>2928</v>
      </c>
      <c r="H114" s="655"/>
      <c r="P114" s="652"/>
    </row>
    <row r="115" spans="1:16" ht="18" x14ac:dyDescent="0.35">
      <c r="A115" s="317">
        <v>110</v>
      </c>
      <c r="B115" s="654" t="s">
        <v>2929</v>
      </c>
      <c r="H115" s="655"/>
      <c r="P115" s="641"/>
    </row>
    <row r="116" spans="1:16" x14ac:dyDescent="0.3">
      <c r="A116" s="317">
        <v>111</v>
      </c>
      <c r="B116" s="654" t="s">
        <v>2930</v>
      </c>
      <c r="H116" s="655"/>
      <c r="P116" s="652"/>
    </row>
    <row r="117" spans="1:16" x14ac:dyDescent="0.3">
      <c r="A117" s="317">
        <v>112</v>
      </c>
      <c r="B117" s="654" t="s">
        <v>2931</v>
      </c>
      <c r="H117" s="655"/>
      <c r="P117" s="652"/>
    </row>
    <row r="118" spans="1:16" x14ac:dyDescent="0.3">
      <c r="A118" s="317">
        <v>113</v>
      </c>
      <c r="B118" s="654" t="s">
        <v>2932</v>
      </c>
      <c r="H118" s="655"/>
      <c r="P118" s="652"/>
    </row>
    <row r="119" spans="1:16" x14ac:dyDescent="0.3">
      <c r="A119" s="317">
        <v>114</v>
      </c>
      <c r="B119" s="654" t="s">
        <v>2933</v>
      </c>
      <c r="H119" s="655"/>
      <c r="P119" s="652"/>
    </row>
    <row r="120" spans="1:16" x14ac:dyDescent="0.3">
      <c r="A120" s="317">
        <v>115</v>
      </c>
      <c r="B120" s="654" t="s">
        <v>2934</v>
      </c>
      <c r="H120" s="655"/>
      <c r="P120" s="652"/>
    </row>
    <row r="121" spans="1:16" x14ac:dyDescent="0.3">
      <c r="A121" s="317">
        <v>116</v>
      </c>
      <c r="B121" s="654" t="s">
        <v>2935</v>
      </c>
      <c r="H121" s="655"/>
      <c r="P121" s="652"/>
    </row>
    <row r="122" spans="1:16" x14ac:dyDescent="0.3">
      <c r="A122" s="317">
        <v>117</v>
      </c>
      <c r="B122" s="654" t="s">
        <v>2936</v>
      </c>
      <c r="H122" s="655"/>
      <c r="P122" s="652"/>
    </row>
    <row r="123" spans="1:16" x14ac:dyDescent="0.3">
      <c r="A123" s="317">
        <v>118</v>
      </c>
      <c r="B123" s="654" t="s">
        <v>2937</v>
      </c>
      <c r="H123" s="655"/>
      <c r="P123" s="652"/>
    </row>
    <row r="124" spans="1:16" x14ac:dyDescent="0.3">
      <c r="A124" s="317">
        <v>119</v>
      </c>
      <c r="B124" s="654" t="s">
        <v>2938</v>
      </c>
      <c r="H124" s="655"/>
      <c r="P124" s="652"/>
    </row>
    <row r="125" spans="1:16" x14ac:dyDescent="0.3">
      <c r="A125" s="317">
        <v>120</v>
      </c>
      <c r="B125" s="654" t="s">
        <v>2939</v>
      </c>
      <c r="H125" s="655"/>
      <c r="P125" s="652"/>
    </row>
    <row r="126" spans="1:16" x14ac:dyDescent="0.3">
      <c r="A126" s="317">
        <v>121</v>
      </c>
      <c r="B126" s="654" t="s">
        <v>2940</v>
      </c>
      <c r="H126" s="655"/>
      <c r="P126" s="652"/>
    </row>
    <row r="127" spans="1:16" x14ac:dyDescent="0.3">
      <c r="A127" s="317">
        <v>122</v>
      </c>
      <c r="B127" s="654" t="s">
        <v>2941</v>
      </c>
      <c r="H127" s="655"/>
      <c r="P127" s="652"/>
    </row>
    <row r="128" spans="1:16" x14ac:dyDescent="0.3">
      <c r="A128" s="317">
        <v>123</v>
      </c>
      <c r="B128" s="654" t="s">
        <v>2942</v>
      </c>
      <c r="H128" s="655"/>
      <c r="P128" s="652"/>
    </row>
    <row r="129" spans="1:16" x14ac:dyDescent="0.3">
      <c r="A129" s="317">
        <v>124</v>
      </c>
      <c r="B129" s="654" t="s">
        <v>2943</v>
      </c>
      <c r="H129" s="655"/>
      <c r="P129" s="652"/>
    </row>
    <row r="130" spans="1:16" x14ac:dyDescent="0.3">
      <c r="A130" s="317">
        <v>125</v>
      </c>
      <c r="B130" s="654" t="s">
        <v>2944</v>
      </c>
      <c r="H130" s="655"/>
      <c r="P130" s="652"/>
    </row>
    <row r="131" spans="1:16" x14ac:dyDescent="0.3">
      <c r="A131" s="317">
        <v>126</v>
      </c>
      <c r="B131" s="654" t="s">
        <v>2945</v>
      </c>
      <c r="H131" s="655"/>
      <c r="P131" s="652"/>
    </row>
    <row r="132" spans="1:16" x14ac:dyDescent="0.3">
      <c r="A132" s="317">
        <v>127</v>
      </c>
      <c r="B132" s="654" t="s">
        <v>2946</v>
      </c>
      <c r="H132" s="655"/>
      <c r="P132" s="652"/>
    </row>
    <row r="133" spans="1:16" x14ac:dyDescent="0.3">
      <c r="A133" s="317">
        <v>128</v>
      </c>
      <c r="B133" s="654" t="s">
        <v>2947</v>
      </c>
      <c r="H133" s="655"/>
      <c r="P133" s="652"/>
    </row>
    <row r="134" spans="1:16" x14ac:dyDescent="0.3">
      <c r="A134" s="317">
        <v>129</v>
      </c>
      <c r="B134" s="654" t="s">
        <v>2948</v>
      </c>
      <c r="H134" s="655"/>
      <c r="P134" s="652"/>
    </row>
    <row r="135" spans="1:16" x14ac:dyDescent="0.3">
      <c r="A135" s="317">
        <v>130</v>
      </c>
      <c r="B135" s="654" t="s">
        <v>2949</v>
      </c>
      <c r="H135" s="655"/>
      <c r="P135" s="652"/>
    </row>
    <row r="136" spans="1:16" x14ac:dyDescent="0.3">
      <c r="A136" s="317">
        <v>131</v>
      </c>
      <c r="B136" s="654" t="s">
        <v>2950</v>
      </c>
      <c r="H136" s="655"/>
      <c r="P136" s="652"/>
    </row>
    <row r="137" spans="1:16" x14ac:dyDescent="0.3">
      <c r="A137" s="317">
        <v>132</v>
      </c>
      <c r="B137" s="654" t="s">
        <v>2951</v>
      </c>
      <c r="H137" s="655"/>
      <c r="P137" s="652"/>
    </row>
    <row r="138" spans="1:16" x14ac:dyDescent="0.3">
      <c r="A138" s="317">
        <v>133</v>
      </c>
      <c r="B138" s="654" t="s">
        <v>2952</v>
      </c>
      <c r="H138" s="655"/>
      <c r="P138" s="652"/>
    </row>
    <row r="139" spans="1:16" x14ac:dyDescent="0.3">
      <c r="A139" s="317">
        <v>134</v>
      </c>
      <c r="B139" s="654" t="s">
        <v>2953</v>
      </c>
      <c r="H139" s="655"/>
      <c r="P139" s="652"/>
    </row>
    <row r="140" spans="1:16" x14ac:dyDescent="0.3">
      <c r="A140" s="317">
        <v>135</v>
      </c>
      <c r="B140" s="654" t="s">
        <v>2954</v>
      </c>
      <c r="H140" s="655"/>
      <c r="P140" s="652"/>
    </row>
    <row r="141" spans="1:16" x14ac:dyDescent="0.3">
      <c r="A141" s="317">
        <v>136</v>
      </c>
      <c r="B141" s="654" t="s">
        <v>2955</v>
      </c>
      <c r="H141" s="655"/>
      <c r="P141" s="652"/>
    </row>
    <row r="142" spans="1:16" x14ac:dyDescent="0.3">
      <c r="A142" s="317">
        <v>137</v>
      </c>
      <c r="B142" s="654" t="s">
        <v>2956</v>
      </c>
      <c r="H142" s="655"/>
      <c r="P142" s="652"/>
    </row>
    <row r="143" spans="1:16" x14ac:dyDescent="0.3">
      <c r="A143" s="317">
        <v>138</v>
      </c>
      <c r="B143" s="654" t="s">
        <v>2957</v>
      </c>
      <c r="H143" s="655"/>
      <c r="P143" s="652"/>
    </row>
    <row r="144" spans="1:16" x14ac:dyDescent="0.3">
      <c r="A144" s="317">
        <v>139</v>
      </c>
      <c r="B144" s="654" t="s">
        <v>2958</v>
      </c>
      <c r="H144" s="655"/>
      <c r="P144" s="652"/>
    </row>
    <row r="145" spans="1:16" x14ac:dyDescent="0.3">
      <c r="A145" s="317">
        <v>140</v>
      </c>
      <c r="B145" s="654" t="s">
        <v>2959</v>
      </c>
      <c r="H145" s="655"/>
      <c r="P145" s="652"/>
    </row>
    <row r="146" spans="1:16" x14ac:dyDescent="0.3">
      <c r="A146" s="317">
        <v>141</v>
      </c>
      <c r="B146" s="654" t="s">
        <v>2960</v>
      </c>
      <c r="H146" s="655"/>
      <c r="P146" s="652"/>
    </row>
    <row r="147" spans="1:16" ht="18" x14ac:dyDescent="0.35">
      <c r="A147" s="317">
        <v>142</v>
      </c>
      <c r="B147" s="654" t="s">
        <v>2961</v>
      </c>
      <c r="H147" s="655"/>
      <c r="P147" s="641"/>
    </row>
    <row r="148" spans="1:16" x14ac:dyDescent="0.3">
      <c r="A148" s="317">
        <v>143</v>
      </c>
      <c r="B148" s="654" t="s">
        <v>2962</v>
      </c>
      <c r="H148" s="655"/>
      <c r="P148" s="652"/>
    </row>
    <row r="149" spans="1:16" x14ac:dyDescent="0.3">
      <c r="A149" s="317">
        <v>144</v>
      </c>
      <c r="B149" s="654" t="s">
        <v>2963</v>
      </c>
      <c r="H149" s="655"/>
      <c r="P149" s="652"/>
    </row>
    <row r="150" spans="1:16" x14ac:dyDescent="0.3">
      <c r="A150" s="317">
        <v>145</v>
      </c>
      <c r="B150" s="654" t="s">
        <v>2964</v>
      </c>
      <c r="H150" s="655"/>
      <c r="P150" s="652"/>
    </row>
    <row r="151" spans="1:16" x14ac:dyDescent="0.3">
      <c r="A151" s="317">
        <v>146</v>
      </c>
      <c r="B151" s="654" t="s">
        <v>2965</v>
      </c>
      <c r="H151" s="655"/>
      <c r="P151" s="652"/>
    </row>
    <row r="152" spans="1:16" x14ac:dyDescent="0.3">
      <c r="A152" s="317">
        <v>147</v>
      </c>
      <c r="B152" s="654" t="s">
        <v>2966</v>
      </c>
      <c r="H152" s="655"/>
      <c r="P152" s="652"/>
    </row>
    <row r="153" spans="1:16" x14ac:dyDescent="0.3">
      <c r="A153" s="317">
        <v>148</v>
      </c>
      <c r="B153" s="654" t="s">
        <v>2967</v>
      </c>
      <c r="H153" s="655"/>
      <c r="P153" s="652"/>
    </row>
    <row r="154" spans="1:16" x14ac:dyDescent="0.3">
      <c r="A154" s="317">
        <v>149</v>
      </c>
      <c r="B154" s="654" t="s">
        <v>2968</v>
      </c>
      <c r="H154" s="655"/>
      <c r="P154" s="652"/>
    </row>
    <row r="155" spans="1:16" x14ac:dyDescent="0.3">
      <c r="A155" s="317">
        <v>150</v>
      </c>
      <c r="B155" s="654" t="s">
        <v>2969</v>
      </c>
      <c r="H155" s="655"/>
      <c r="P155" s="652"/>
    </row>
    <row r="156" spans="1:16" x14ac:dyDescent="0.3">
      <c r="A156" s="317">
        <v>151</v>
      </c>
      <c r="B156" s="654" t="s">
        <v>2970</v>
      </c>
      <c r="H156" s="655"/>
      <c r="P156" s="652"/>
    </row>
    <row r="157" spans="1:16" x14ac:dyDescent="0.3">
      <c r="A157" s="317">
        <v>152</v>
      </c>
      <c r="B157" s="654" t="s">
        <v>2971</v>
      </c>
      <c r="H157" s="655"/>
      <c r="P157" s="652"/>
    </row>
    <row r="158" spans="1:16" x14ac:dyDescent="0.3">
      <c r="A158" s="317">
        <v>153</v>
      </c>
      <c r="B158" s="654" t="s">
        <v>2972</v>
      </c>
      <c r="H158" s="655"/>
      <c r="P158" s="652"/>
    </row>
    <row r="159" spans="1:16" x14ac:dyDescent="0.3">
      <c r="A159" s="317">
        <v>154</v>
      </c>
      <c r="B159" s="654" t="s">
        <v>2973</v>
      </c>
      <c r="H159" s="655"/>
      <c r="P159" s="652"/>
    </row>
    <row r="160" spans="1:16" x14ac:dyDescent="0.3">
      <c r="A160" s="317">
        <v>155</v>
      </c>
      <c r="B160" s="654" t="s">
        <v>2974</v>
      </c>
      <c r="H160" s="655"/>
      <c r="P160" s="652"/>
    </row>
    <row r="161" spans="1:16" x14ac:dyDescent="0.3">
      <c r="A161" s="317">
        <v>156</v>
      </c>
      <c r="B161" s="654" t="s">
        <v>2975</v>
      </c>
      <c r="H161" s="655"/>
      <c r="P161" s="652"/>
    </row>
    <row r="162" spans="1:16" x14ac:dyDescent="0.3">
      <c r="A162" s="317">
        <v>157</v>
      </c>
      <c r="B162" s="654" t="s">
        <v>2976</v>
      </c>
      <c r="H162" s="655"/>
      <c r="P162" s="652"/>
    </row>
    <row r="163" spans="1:16" x14ac:dyDescent="0.3">
      <c r="A163" s="317">
        <v>158</v>
      </c>
      <c r="B163" s="654" t="s">
        <v>2977</v>
      </c>
      <c r="H163" s="655"/>
      <c r="P163" s="652"/>
    </row>
    <row r="164" spans="1:16" x14ac:dyDescent="0.3">
      <c r="A164" s="317">
        <v>159</v>
      </c>
      <c r="B164" s="654" t="s">
        <v>2978</v>
      </c>
      <c r="H164" s="655"/>
      <c r="P164" s="652"/>
    </row>
    <row r="165" spans="1:16" x14ac:dyDescent="0.3">
      <c r="A165" s="317">
        <v>160</v>
      </c>
      <c r="B165" s="654" t="s">
        <v>2979</v>
      </c>
      <c r="H165" s="655"/>
      <c r="P165" s="652"/>
    </row>
    <row r="166" spans="1:16" x14ac:dyDescent="0.3">
      <c r="A166" s="317">
        <v>161</v>
      </c>
      <c r="B166" s="654" t="s">
        <v>2980</v>
      </c>
      <c r="H166" s="655"/>
      <c r="P166" s="652"/>
    </row>
    <row r="167" spans="1:16" x14ac:dyDescent="0.3">
      <c r="A167" s="317">
        <v>162</v>
      </c>
      <c r="B167" s="654" t="s">
        <v>2981</v>
      </c>
      <c r="H167" s="655"/>
      <c r="P167" s="652"/>
    </row>
    <row r="168" spans="1:16" x14ac:dyDescent="0.3">
      <c r="A168" s="317">
        <v>163</v>
      </c>
      <c r="B168" s="654" t="s">
        <v>2982</v>
      </c>
      <c r="H168" s="655"/>
      <c r="P168" s="652"/>
    </row>
    <row r="169" spans="1:16" x14ac:dyDescent="0.3">
      <c r="A169" s="317">
        <v>164</v>
      </c>
      <c r="B169" s="654" t="s">
        <v>2983</v>
      </c>
      <c r="H169" s="655"/>
      <c r="P169" s="652"/>
    </row>
    <row r="170" spans="1:16" x14ac:dyDescent="0.3">
      <c r="A170" s="317">
        <v>165</v>
      </c>
      <c r="B170" s="654" t="s">
        <v>2984</v>
      </c>
      <c r="H170" s="655"/>
      <c r="P170" s="652"/>
    </row>
    <row r="171" spans="1:16" x14ac:dyDescent="0.3">
      <c r="A171" s="317">
        <v>166</v>
      </c>
      <c r="B171" s="654" t="s">
        <v>2985</v>
      </c>
      <c r="H171" s="655"/>
      <c r="P171" s="652"/>
    </row>
    <row r="172" spans="1:16" x14ac:dyDescent="0.3">
      <c r="A172" s="317">
        <v>167</v>
      </c>
      <c r="B172" s="654" t="s">
        <v>2986</v>
      </c>
      <c r="H172" s="655"/>
      <c r="P172" s="652"/>
    </row>
    <row r="173" spans="1:16" x14ac:dyDescent="0.3">
      <c r="A173" s="317">
        <v>168</v>
      </c>
      <c r="B173" s="654" t="s">
        <v>2987</v>
      </c>
      <c r="H173" s="655"/>
      <c r="P173" s="652"/>
    </row>
    <row r="174" spans="1:16" x14ac:dyDescent="0.3">
      <c r="A174" s="317">
        <v>169</v>
      </c>
      <c r="B174" s="654" t="s">
        <v>2988</v>
      </c>
      <c r="H174" s="655"/>
      <c r="P174" s="652"/>
    </row>
    <row r="175" spans="1:16" x14ac:dyDescent="0.3">
      <c r="A175" s="317">
        <v>170</v>
      </c>
      <c r="B175" s="654" t="s">
        <v>2989</v>
      </c>
      <c r="H175" s="655"/>
      <c r="P175" s="652"/>
    </row>
    <row r="176" spans="1:16" x14ac:dyDescent="0.3">
      <c r="A176" s="317">
        <v>171</v>
      </c>
      <c r="B176" s="654" t="s">
        <v>2990</v>
      </c>
      <c r="H176" s="655"/>
      <c r="P176" s="652"/>
    </row>
    <row r="177" spans="1:16" ht="18" x14ac:dyDescent="0.35">
      <c r="A177" s="317">
        <v>172</v>
      </c>
      <c r="B177" s="654" t="s">
        <v>2991</v>
      </c>
      <c r="H177" s="655"/>
      <c r="P177" s="641"/>
    </row>
    <row r="178" spans="1:16" x14ac:dyDescent="0.3">
      <c r="B178" s="654"/>
    </row>
    <row r="179" spans="1:16" x14ac:dyDescent="0.3">
      <c r="A179" s="665" t="s">
        <v>3006</v>
      </c>
      <c r="B179" s="654"/>
    </row>
    <row r="181" spans="1:16" x14ac:dyDescent="0.3">
      <c r="B181" s="654"/>
    </row>
    <row r="182" spans="1:16" x14ac:dyDescent="0.3">
      <c r="B182" s="654"/>
    </row>
    <row r="183" spans="1:16" x14ac:dyDescent="0.3">
      <c r="B183" s="654"/>
    </row>
    <row r="184" spans="1:16" x14ac:dyDescent="0.3">
      <c r="B184" s="654"/>
    </row>
    <row r="185" spans="1:16" x14ac:dyDescent="0.3">
      <c r="B185" s="654"/>
    </row>
    <row r="186" spans="1:16" x14ac:dyDescent="0.3">
      <c r="B186" s="654"/>
    </row>
    <row r="187" spans="1:16" x14ac:dyDescent="0.3">
      <c r="B187" s="654"/>
    </row>
    <row r="188" spans="1:16" x14ac:dyDescent="0.3">
      <c r="B188" s="654"/>
    </row>
    <row r="189" spans="1:16" x14ac:dyDescent="0.3">
      <c r="B189" s="654"/>
    </row>
  </sheetData>
  <sheetProtection formatCells="0" formatColumns="0" formatRows="0" insertColumns="0" insertRows="0" insertHyperlinks="0" deleteColumns="0" deleteRows="0" sort="0" autoFilter="0" pivotTables="0"/>
  <sortState ref="M4:Q174">
    <sortCondition ref="P5"/>
  </sortState>
  <hyperlinks>
    <hyperlink ref="B12" location="'7 AVERAGE'!A1" display="7.      AVERAGE - Returns the average of a range of numbers"/>
    <hyperlink ref="B13" location="'8 COUNTBLANK'!A1" display="8.      COUNTBLANK - Counts the number of blank cells within a range"/>
    <hyperlink ref="B14" location="'9 COUNTIF'!A1" display="9.      COUNTIF - Counts the number of nonblank cells within a range that meet the given criteria"/>
    <hyperlink ref="B15" location="'10 Value'!A1" display="10.  VALUE - Converts text to a number"/>
    <hyperlink ref="B16" location="'11 TEXT'!A1" display="11.  TEXT - Formats a number and converts it to text"/>
    <hyperlink ref="B17" location="'12 VLOOKUP'!A1" display="12.  VLOOKUP - Looks in the first column of an array and moves across the row to return the value of a cell"/>
    <hyperlink ref="B18" location="'13 HLOOKUP'!A1" display="13.  HLOOKUP - Looks in the top row of an array and returns the value of the indicated cell"/>
    <hyperlink ref="B19" location="'14 TWO WAY LOOKUP'!A1" display="14.  TWO WAY LOOKUP – Using both VLOOKUP and HLOOKUP together"/>
    <hyperlink ref="B20" location="'15 LOOKUP'!A1" display="15.  LOOKUP - Looks up values in a vector or array"/>
    <hyperlink ref="B21" location="'16 MATCH'!A1" display="16.  MATCH - Looks up values in a reference or array"/>
    <hyperlink ref="B22" location="'17 TRIM'!A1" display="17.  TRIM - Removes spaces from text"/>
    <hyperlink ref="B23" location="'18 PROPER'!A1" display="18.  PROPER - Capitalizes the first letter in each word of a text value"/>
    <hyperlink ref="B24" location="'19 LOWER'!A1" display="19.  LOWER - Converts text to lowercase"/>
    <hyperlink ref="B25" location="'20 UPPER'!A1" display="20.  UPPER - Converts text to uppercase"/>
    <hyperlink ref="B26" location="'21 LEFT'!A1" display="21.  LEFT - Returns the leftmost characters from a text value"/>
    <hyperlink ref="B27" location="'22 RIGHT'!A1" display="22.  RIGHT - Returns the rightmost characters from a text value"/>
    <hyperlink ref="B28" location="'23 MID'!A1" display="23.  MID - Returns a specific number of characters from a text string starting at the position you specify"/>
    <hyperlink ref="B29" location="'24 FIND'!A1" display="24.  FIND - Finds one text value within another (case-sensitive)"/>
    <hyperlink ref="B30" location="'25 SUBSTITUTE'!A1" display="25.  SUBSTITUTE - Substitutes new text for old text in a text string"/>
    <hyperlink ref="B31" location="'26 LEN'!A1" display="26.  LEN - Returns the number of characters in a text string"/>
    <hyperlink ref="B32" location="'27 REPLACE'!A1" display="27.  REPLACE - Replaces text in a string with alternative text"/>
    <hyperlink ref="B33" location="'28 CONCANTENATE'!A1" display="28.  CONCATENATE - Joins several text items into one text item"/>
    <hyperlink ref="B34" location="'29 CLEAN'!A1" display="29.  CLEAN - Removes all nonprintable characters from text"/>
    <hyperlink ref="B35" location="'30 NOW'!A1" display="30.  NOW - Returns the serial number of the current date and time"/>
    <hyperlink ref="B36" location="'31 TODAY'!A1" display="31.  TODAY - Returns the serial number of today's date"/>
    <hyperlink ref="B37" location="'32 DATE'!A1" display="32.  DATE - Returns the serial number of a particular date"/>
    <hyperlink ref="B38" location="'33 MONTH'!A1" display="33.  MONTH - Converts a serial number to a month"/>
    <hyperlink ref="B39" location="'34 DAY'!A1" display="34.  DAY - Converts a serial number to a day of the month"/>
    <hyperlink ref="B40" location="'35 YEAR'!A1" display="35.  YEAR - Converts a serial number to a year"/>
    <hyperlink ref="B41" location="'36 WEEKDAY'!A1" display="36.  WEEKDAY - Converts a serial number to a day of the week"/>
    <hyperlink ref="B42" location="'37 ROUND'!A1" display="37.  ROUND - Rounds a number to a specified number of digits"/>
    <hyperlink ref="B43" location="'38 ROUNDDOWN'!A1" display="38.  ROUNDDOWN - Rounds a number down, toward zero"/>
    <hyperlink ref="B44" location="'39 ROUNDUP (2)'!A1" display="39.  ROUNDUP - Rounds a number up, away from zero"/>
    <hyperlink ref="B45" location="'40 MAX'!A1" display="40.  MAX - Returns the maximum value in a list of arguments"/>
    <hyperlink ref="B46" location="'41 DMAX '!A1" display="41.  DMAX - Returns the maximum value from a table array based on a list of arguments"/>
    <hyperlink ref="B47" location="'42 MIN '!A1" display="42.  MIN - Returns the minimum value in a list of arguments"/>
    <hyperlink ref="B48" location="'43 DMIN'!A1" display="43.  DMIN - Returns the minimum value from a table array based on a list of arguments"/>
    <hyperlink ref="B49" location="'44 MEDIAN'!A1" display="44.  MEDIAN - Returns the median of the given numbers"/>
    <hyperlink ref="B50" location="'45 MODE'!A1" display="45.  MODE - Returns the most common value in a data set"/>
    <hyperlink ref="B51" location="'46 PERCENTILE'!A1" display="46.  PERCENTILE - Returns the k-th percentile of values in a range"/>
    <hyperlink ref="B52" location="'47 PERCENTRANK'!A1" display="47.  PERCENTRANK - Returns the percentage rank of a value in a data set"/>
    <hyperlink ref="B53" location="'48 PMT'!A1" display="48.  PMT - Returns the periodic payment for an annuity"/>
    <hyperlink ref="B54" location="'49 NPV'!A1" display="49.  NPV - Returns the net present value of an investment based on a series of periodic cash flows and a discount rate"/>
    <hyperlink ref="B55" location="'50 DSUM'!A1" display="50.  DSUM - Adds the numbers in the field column of records in the database that match the criteria"/>
    <hyperlink ref="B56" location="'51 DCOUNT'!A1" display="51.  DCOUNT - Counts the cells that contain numbers in a database"/>
    <hyperlink ref="B57" location="'52 DCOUNTA'!A1" display="52.  DCOUNTA - Counts nonblank cells in a database"/>
    <hyperlink ref="B58" location="'53 AND'!A1" display="53.  AND - Returns TRUE if all of its arguments are TRUE"/>
    <hyperlink ref="B59" location="'54 OR'!A1" display="54.  OR - Returns TRUE if any argument is TRUE"/>
    <hyperlink ref="B60" location="'55 CHOOSE'!A1" display="55.  CHOOSE - Chooses a value from a list of values"/>
    <hyperlink ref="B61" location="'56 TIME'!A1" display="56.  TIME - Returns the serial number of a particular time"/>
    <hyperlink ref="B62" location="'57 FV'!A1" display="57.  FV - Returns the future value of an investment"/>
    <hyperlink ref="B63" location="'58 IRR'!A1" display="58.  IRR - Returns the internal rate of return for a series of cash flows"/>
    <hyperlink ref="B64" location="'59 YIELD'!A1" display="59.  YIELD - Returns the yield on a security that pays periodic interest"/>
    <hyperlink ref="B65" location="'60 CELL'!A1" display="60.  CELL - Returns information about the formatting, location, or contents of a cell"/>
    <hyperlink ref="B66" location="'61 INFO'!A1" display="61.  INFO - Returns information about the current operating environment"/>
    <hyperlink ref="B67" location="'62 ERROR TYPE'!A1" display="62.  ERROR.TYPE - Returns a number corresponding to an error type"/>
    <hyperlink ref="B68" location="'63 ISBLANK'!A1" display="63.  ISBLANK - Returns TRUE if the value is blank"/>
    <hyperlink ref="B69" location="'64 ISNA'!A1" display="64.  ISNA - Returns TRUE if the value is the #N/A error value"/>
    <hyperlink ref="B70" location="'65 GETPIVOTDATA'!A1" display="65.  GETPIVOTDATA - Returns data stored in a PivotTable"/>
    <hyperlink ref="B71" location="'66 HYPERLINK'!A1" display="66.  HYPERLINK - Creates a shortcut or jump that opens a document stored on a network server, an intranet, or the Internet"/>
    <hyperlink ref="B72" location="'67 TRANSPOSE'!A1" display="67.  TRANSPOSE - Returns the transpose of an array"/>
    <hyperlink ref="B73" location="'68 ABS'!A1" display="68.  ABS - Returns the absolute value of a number"/>
    <hyperlink ref="B74" location="'69 RAND'!A1" display="69.  RAND - Returns a random number between 0 and 1"/>
    <hyperlink ref="B75" location="'70 RANDBETWEEN'!A1" display="70.  RANDBETWEEN - Returns a random number between the numbers you specify"/>
    <hyperlink ref="B76" location="'71 REPT'!A1" display="71.  REPT - Repeats text a given number of times"/>
    <hyperlink ref="B77" location="'72 SLN'!A1" display="72.  SLN - Returns the straight-line depreciation of an asset for one period"/>
    <hyperlink ref="B78" location="'73 SYD'!A1" display="73.  SYD - Returns the sum-of-years' digits depreciation of an asset for a specified period"/>
    <hyperlink ref="B79" location="'74 DDB'!A1" display="74.  DDB - Returns the double declining balance depreciation of an asset for a specified period"/>
    <hyperlink ref="B80" location="'75 DGET'!A1" display="75.  DGET - Extracts from a database a single record that matches the specified criteria"/>
    <hyperlink ref="B6" location="'1 IF a'!A1" display="IF (213) - Specifies a logical test to perform."/>
    <hyperlink ref="B7" location="'2 SUM'!A1" display="SUM (307) - Adds its arguments."/>
    <hyperlink ref="B8" location="'3 SUBTOTAL a'!A1" display="SUBTOTAL (306) - Returns a subtotal in a list or database."/>
    <hyperlink ref="B9" location="'4 SUMIF'!A1" display="SUMIF (308) - Adds the cells specified by a given criteria."/>
    <hyperlink ref="B10" location="'5 COUNT'!A1" display="COUNT (336) - Counts how many numbers are in the list of arguments."/>
    <hyperlink ref="B11" location="'6 COUNTA'!A1" display="COUNTA (337) - Counts how many values are in the list of arguments."/>
  </hyperlinks>
  <printOptions horizontalCentered="1"/>
  <pageMargins left="0.5" right="0.5" top="0.75" bottom="0.75" header="0.3" footer="0.3"/>
  <pageSetup scale="87" orientation="landscape" r:id="rId1"/>
  <headerFooter>
    <oddFooter>&amp;LBoni Mays
Fayetteville Technical Community College&amp;C&amp;P&amp;Rwww.maysstuff.com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zoomScale="90" zoomScaleNormal="90" workbookViewId="0">
      <selection activeCell="D32" sqref="D32"/>
    </sheetView>
  </sheetViews>
  <sheetFormatPr defaultColWidth="9.109375" defaultRowHeight="14.4" x14ac:dyDescent="0.3"/>
  <cols>
    <col min="1" max="1" width="2.44140625" style="516" customWidth="1"/>
    <col min="2" max="2" width="19.44140625" style="511" customWidth="1"/>
    <col min="3" max="3" width="21.44140625" style="511" customWidth="1"/>
    <col min="4" max="12" width="11.6640625" style="511" customWidth="1"/>
    <col min="13" max="16384" width="9.109375" style="511"/>
  </cols>
  <sheetData>
    <row r="1" spans="1:12" ht="15" customHeight="1" x14ac:dyDescent="0.3">
      <c r="A1" s="510"/>
      <c r="E1" s="633" t="s">
        <v>3016</v>
      </c>
    </row>
    <row r="2" spans="1:12" ht="15" customHeight="1" x14ac:dyDescent="0.3">
      <c r="A2" s="510"/>
      <c r="D2" s="512" t="s">
        <v>604</v>
      </c>
      <c r="E2" s="513"/>
      <c r="F2" s="513"/>
      <c r="G2" s="513"/>
      <c r="H2" s="513"/>
      <c r="I2" s="513"/>
      <c r="J2" s="513"/>
      <c r="K2" s="514"/>
    </row>
    <row r="3" spans="1:12" ht="15" customHeight="1" x14ac:dyDescent="0.3">
      <c r="A3" s="510"/>
      <c r="D3" s="719" t="s">
        <v>613</v>
      </c>
      <c r="E3" s="720"/>
      <c r="F3" s="719" t="s">
        <v>614</v>
      </c>
      <c r="G3" s="720"/>
      <c r="H3" s="719" t="s">
        <v>615</v>
      </c>
      <c r="I3" s="720"/>
      <c r="J3" s="719" t="s">
        <v>616</v>
      </c>
      <c r="K3" s="720"/>
      <c r="L3" s="515" t="s">
        <v>603</v>
      </c>
    </row>
    <row r="4" spans="1:12" ht="15" customHeight="1" x14ac:dyDescent="0.3">
      <c r="A4" s="510"/>
      <c r="D4" s="515" t="s">
        <v>605</v>
      </c>
      <c r="E4" s="515" t="s">
        <v>606</v>
      </c>
      <c r="F4" s="515" t="s">
        <v>605</v>
      </c>
      <c r="G4" s="515" t="s">
        <v>606</v>
      </c>
      <c r="H4" s="515" t="s">
        <v>605</v>
      </c>
      <c r="I4" s="515" t="s">
        <v>606</v>
      </c>
      <c r="J4" s="515" t="s">
        <v>605</v>
      </c>
      <c r="K4" s="515" t="s">
        <v>606</v>
      </c>
      <c r="L4" s="515"/>
    </row>
    <row r="5" spans="1:12" ht="15" customHeight="1" x14ac:dyDescent="0.3">
      <c r="D5" s="517">
        <v>0</v>
      </c>
      <c r="E5" s="517">
        <v>8350</v>
      </c>
      <c r="F5" s="518">
        <v>0</v>
      </c>
      <c r="G5" s="517">
        <v>16700</v>
      </c>
      <c r="H5" s="517">
        <v>0</v>
      </c>
      <c r="I5" s="517">
        <v>8350</v>
      </c>
      <c r="J5" s="517">
        <v>0</v>
      </c>
      <c r="K5" s="517">
        <v>11950</v>
      </c>
      <c r="L5" s="519">
        <v>0.1</v>
      </c>
    </row>
    <row r="6" spans="1:12" ht="15" customHeight="1" x14ac:dyDescent="0.3">
      <c r="A6" s="510"/>
      <c r="D6" s="517">
        <v>8351</v>
      </c>
      <c r="E6" s="517">
        <v>33950</v>
      </c>
      <c r="F6" s="517">
        <v>16701</v>
      </c>
      <c r="G6" s="517">
        <v>67900</v>
      </c>
      <c r="H6" s="517">
        <v>8351</v>
      </c>
      <c r="I6" s="517">
        <v>33950</v>
      </c>
      <c r="J6" s="517">
        <v>11951</v>
      </c>
      <c r="K6" s="517">
        <v>45500</v>
      </c>
      <c r="L6" s="519">
        <v>0.15</v>
      </c>
    </row>
    <row r="7" spans="1:12" ht="15" customHeight="1" x14ac:dyDescent="0.3">
      <c r="A7" s="510"/>
      <c r="D7" s="517">
        <v>33951</v>
      </c>
      <c r="E7" s="517">
        <v>82250</v>
      </c>
      <c r="F7" s="517">
        <v>67901</v>
      </c>
      <c r="G7" s="517">
        <v>137050</v>
      </c>
      <c r="H7" s="517">
        <v>33951</v>
      </c>
      <c r="I7" s="517">
        <v>68525</v>
      </c>
      <c r="J7" s="517">
        <v>45501</v>
      </c>
      <c r="K7" s="517">
        <v>117450</v>
      </c>
      <c r="L7" s="519">
        <v>0.25</v>
      </c>
    </row>
    <row r="8" spans="1:12" ht="15" customHeight="1" x14ac:dyDescent="0.3">
      <c r="A8" s="510"/>
      <c r="D8" s="517">
        <v>82251</v>
      </c>
      <c r="E8" s="517">
        <v>171550</v>
      </c>
      <c r="F8" s="517">
        <v>137051</v>
      </c>
      <c r="G8" s="517">
        <v>208850</v>
      </c>
      <c r="H8" s="517">
        <v>68526</v>
      </c>
      <c r="I8" s="517">
        <v>104425</v>
      </c>
      <c r="J8" s="517">
        <v>117451</v>
      </c>
      <c r="K8" s="517">
        <v>190200</v>
      </c>
      <c r="L8" s="519">
        <v>0.28000000000000003</v>
      </c>
    </row>
    <row r="9" spans="1:12" ht="15" customHeight="1" x14ac:dyDescent="0.3">
      <c r="A9" s="510"/>
      <c r="D9" s="517">
        <v>171551</v>
      </c>
      <c r="E9" s="517">
        <v>372950</v>
      </c>
      <c r="F9" s="517">
        <v>208851</v>
      </c>
      <c r="G9" s="517">
        <v>372950</v>
      </c>
      <c r="H9" s="517">
        <v>104426</v>
      </c>
      <c r="I9" s="517">
        <v>186475</v>
      </c>
      <c r="J9" s="517">
        <v>190201</v>
      </c>
      <c r="K9" s="517">
        <v>372950</v>
      </c>
      <c r="L9" s="519">
        <v>0.33</v>
      </c>
    </row>
    <row r="10" spans="1:12" ht="15" customHeight="1" x14ac:dyDescent="0.3">
      <c r="D10" s="517">
        <v>372951</v>
      </c>
      <c r="E10" s="517"/>
      <c r="F10" s="517">
        <v>372951</v>
      </c>
      <c r="G10" s="517"/>
      <c r="H10" s="517">
        <v>186476</v>
      </c>
      <c r="I10" s="517"/>
      <c r="J10" s="517">
        <v>372951</v>
      </c>
      <c r="K10" s="517"/>
      <c r="L10" s="519">
        <v>0.35</v>
      </c>
    </row>
    <row r="11" spans="1:12" ht="15" customHeight="1" x14ac:dyDescent="0.3">
      <c r="A11" s="510"/>
    </row>
    <row r="12" spans="1:12" ht="15" customHeight="1" x14ac:dyDescent="0.3">
      <c r="B12" s="520" t="s">
        <v>607</v>
      </c>
      <c r="C12" s="521">
        <v>124325</v>
      </c>
      <c r="D12" s="522"/>
      <c r="E12" s="522"/>
      <c r="F12" s="522"/>
      <c r="G12" s="522"/>
      <c r="H12" s="522"/>
      <c r="I12" s="522"/>
      <c r="J12" s="522"/>
    </row>
    <row r="13" spans="1:12" ht="15" customHeight="1" x14ac:dyDescent="0.3">
      <c r="A13" s="510"/>
      <c r="B13" s="3" t="s">
        <v>611</v>
      </c>
      <c r="C13" s="523" t="s">
        <v>613</v>
      </c>
      <c r="G13" s="522"/>
      <c r="H13" s="522"/>
      <c r="I13" s="522"/>
      <c r="J13" s="522"/>
      <c r="K13" s="522"/>
    </row>
    <row r="14" spans="1:12" ht="15" customHeight="1" x14ac:dyDescent="0.3">
      <c r="A14" s="510"/>
    </row>
    <row r="15" spans="1:12" x14ac:dyDescent="0.3">
      <c r="A15" s="510"/>
      <c r="E15" s="524" t="s">
        <v>613</v>
      </c>
      <c r="F15" s="525"/>
      <c r="G15" s="524" t="s">
        <v>614</v>
      </c>
      <c r="H15" s="525"/>
      <c r="I15" s="524" t="s">
        <v>615</v>
      </c>
      <c r="J15" s="525"/>
      <c r="K15" s="524" t="s">
        <v>617</v>
      </c>
    </row>
    <row r="16" spans="1:12" x14ac:dyDescent="0.3">
      <c r="A16" s="510"/>
      <c r="B16" s="526" t="s">
        <v>608</v>
      </c>
      <c r="C16" s="517">
        <f>IF($C$13="A. Single",E16,IF($C$13="B. Married/Widower",G16,IF($C$13="C. Married - Sep",I16,K16)))</f>
        <v>23030.280000000002</v>
      </c>
      <c r="D16" s="522"/>
      <c r="E16" s="527">
        <f>VLOOKUP($C$12,$D$3:$L$10,1)*E17</f>
        <v>23030.280000000002</v>
      </c>
      <c r="F16" s="419"/>
      <c r="G16" s="527">
        <f>VLOOKUP($C$12,$F$3:$L$10,1)*G17</f>
        <v>16975.25</v>
      </c>
      <c r="H16" s="522"/>
      <c r="I16" s="527">
        <f>VLOOKUP($C$12,$H$3:$L$10,1)*I17</f>
        <v>34460.58</v>
      </c>
      <c r="J16" s="522"/>
      <c r="K16" s="527">
        <f>VLOOKUP($C$12,$J$3:$L$10,1)*K17</f>
        <v>32886.280000000006</v>
      </c>
    </row>
    <row r="17" spans="1:11" x14ac:dyDescent="0.3">
      <c r="A17" s="510"/>
      <c r="B17" s="19" t="s">
        <v>610</v>
      </c>
      <c r="C17" s="528">
        <f>IF($C$13="A. Single",E17,IF($C$13="B. Married/Widower",G17,IF($C$13="C. Married - Sep",I17,K17)))</f>
        <v>0.28000000000000003</v>
      </c>
      <c r="D17" s="522"/>
      <c r="E17" s="529">
        <f>VLOOKUP($C$12,$D$3:$L$12,9)</f>
        <v>0.28000000000000003</v>
      </c>
      <c r="F17" s="530"/>
      <c r="G17" s="529">
        <f>VLOOKUP($C$12,$F$3:$L$10,7)</f>
        <v>0.25</v>
      </c>
      <c r="H17" s="522"/>
      <c r="I17" s="529">
        <f>VLOOKUP($C$12,$H$3:$L$10,5)</f>
        <v>0.33</v>
      </c>
      <c r="J17" s="522"/>
      <c r="K17" s="529">
        <f>VLOOKUP($C$12,$J$3:$L$10,3)</f>
        <v>0.28000000000000003</v>
      </c>
    </row>
    <row r="18" spans="1:11" x14ac:dyDescent="0.3">
      <c r="A18" s="510"/>
      <c r="B18" s="526" t="s">
        <v>609</v>
      </c>
      <c r="C18" s="517">
        <f>IF($C$13="A. Single",E18,IF($C$13="B. Married/Widower",G18,IF($C$13="C. Married - Sep",I18,K18)))</f>
        <v>82251</v>
      </c>
      <c r="E18" s="527">
        <f>VLOOKUP($C$12,$D$3:$L$12,1)</f>
        <v>82251</v>
      </c>
      <c r="F18" s="419"/>
      <c r="G18" s="527">
        <f>VLOOKUP($C$12,$F$3:$L$10,1)</f>
        <v>67901</v>
      </c>
      <c r="I18" s="527">
        <f>VLOOKUP($C$12,$H$3:$L$10,1)</f>
        <v>104426</v>
      </c>
      <c r="K18" s="527">
        <f>VLOOKUP($C$12,$D$3:$L$12,7)</f>
        <v>117451</v>
      </c>
    </row>
    <row r="19" spans="1:11" x14ac:dyDescent="0.3">
      <c r="A19" s="510"/>
    </row>
    <row r="20" spans="1:11" x14ac:dyDescent="0.3">
      <c r="A20" s="510"/>
      <c r="B20" s="3" t="s">
        <v>612</v>
      </c>
      <c r="C20" s="527">
        <f>C16+(($C$12-C18)*C17)</f>
        <v>34811</v>
      </c>
      <c r="E20" s="527">
        <f>E16+(($C$12-E18)*E17)</f>
        <v>34811</v>
      </c>
      <c r="G20" s="527">
        <f>G16+(($C$12-G18)*G17)</f>
        <v>31081.25</v>
      </c>
      <c r="I20" s="527">
        <f>I16+(($C$12-I18)*I17)</f>
        <v>41027.25</v>
      </c>
      <c r="K20" s="527">
        <f>K16+(($C$12-K18)*K17)</f>
        <v>34811.000000000007</v>
      </c>
    </row>
    <row r="21" spans="1:11" x14ac:dyDescent="0.3">
      <c r="A21" s="510"/>
    </row>
    <row r="22" spans="1:11" x14ac:dyDescent="0.3">
      <c r="A22" s="510"/>
      <c r="C22" s="531"/>
      <c r="E22" s="531"/>
      <c r="G22" s="531"/>
      <c r="I22" s="531"/>
      <c r="K22" s="531"/>
    </row>
    <row r="23" spans="1:11" x14ac:dyDescent="0.3">
      <c r="A23" s="510"/>
      <c r="C23" s="531"/>
      <c r="E23" s="531"/>
      <c r="G23" s="531"/>
      <c r="I23" s="531"/>
      <c r="K23" s="531"/>
    </row>
    <row r="24" spans="1:11" x14ac:dyDescent="0.3">
      <c r="A24" s="510"/>
      <c r="C24" s="532"/>
      <c r="E24" s="532"/>
      <c r="G24" s="532"/>
      <c r="I24" s="532"/>
      <c r="K24" s="532"/>
    </row>
    <row r="25" spans="1:11" x14ac:dyDescent="0.3">
      <c r="A25" s="510"/>
      <c r="C25" s="532"/>
      <c r="E25" s="532"/>
      <c r="G25" s="532"/>
      <c r="I25" s="532"/>
      <c r="J25" s="532"/>
      <c r="K25" s="532"/>
    </row>
    <row r="26" spans="1:11" x14ac:dyDescent="0.3">
      <c r="A26" s="510"/>
    </row>
    <row r="27" spans="1:11" x14ac:dyDescent="0.3">
      <c r="A27" s="510"/>
    </row>
    <row r="28" spans="1:11" x14ac:dyDescent="0.3">
      <c r="A28" s="510"/>
    </row>
    <row r="29" spans="1:11" x14ac:dyDescent="0.3">
      <c r="A29" s="510"/>
    </row>
    <row r="30" spans="1:11" x14ac:dyDescent="0.3">
      <c r="A30" s="510"/>
    </row>
    <row r="53" spans="1:1" s="513" customFormat="1" x14ac:dyDescent="0.3">
      <c r="A53" s="533"/>
    </row>
    <row r="56" spans="1:1" ht="15.75" customHeight="1" x14ac:dyDescent="0.3"/>
    <row r="57" spans="1:1" ht="15.75" customHeight="1" x14ac:dyDescent="0.3"/>
    <row r="58" spans="1:1" ht="15.75" customHeight="1" x14ac:dyDescent="0.3"/>
    <row r="59" spans="1:1" ht="15.75" customHeight="1" x14ac:dyDescent="0.3"/>
    <row r="60" spans="1:1" ht="15.75" customHeight="1" x14ac:dyDescent="0.3"/>
    <row r="61" spans="1:1" ht="15.75" customHeight="1" x14ac:dyDescent="0.3"/>
  </sheetData>
  <mergeCells count="4">
    <mergeCell ref="D3:E3"/>
    <mergeCell ref="F3:G3"/>
    <mergeCell ref="H3:I3"/>
    <mergeCell ref="J3:K3"/>
  </mergeCells>
  <dataValidations count="1">
    <dataValidation type="list" allowBlank="1" showInputMessage="1" showErrorMessage="1" sqref="C13">
      <formula1>$D$3:$K$3</formula1>
    </dataValidation>
  </dataValidation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zoomScale="120" zoomScaleNormal="120" workbookViewId="0">
      <selection activeCell="D19" sqref="D19"/>
    </sheetView>
  </sheetViews>
  <sheetFormatPr defaultColWidth="9.109375" defaultRowHeight="14.4" x14ac:dyDescent="0.3"/>
  <cols>
    <col min="1" max="1" width="5" style="3" customWidth="1"/>
    <col min="2" max="2" width="12.6640625" style="3" customWidth="1"/>
    <col min="3" max="3" width="21.109375" style="3" customWidth="1"/>
    <col min="4" max="4" width="12.6640625" style="3" customWidth="1"/>
    <col min="5" max="5" width="20.109375" style="3" customWidth="1"/>
    <col min="6" max="6" width="12.6640625" style="3" customWidth="1"/>
    <col min="7" max="16384" width="9.109375" style="3"/>
  </cols>
  <sheetData>
    <row r="1" spans="1:7" ht="18" x14ac:dyDescent="0.35">
      <c r="A1" s="509" t="s">
        <v>523</v>
      </c>
      <c r="G1" s="633" t="s">
        <v>3016</v>
      </c>
    </row>
    <row r="2" spans="1:7" x14ac:dyDescent="0.3">
      <c r="B2" s="459" t="s">
        <v>637</v>
      </c>
      <c r="D2" s="459" t="s">
        <v>638</v>
      </c>
      <c r="F2" s="459" t="s">
        <v>639</v>
      </c>
    </row>
    <row r="4" spans="1:7" x14ac:dyDescent="0.3">
      <c r="B4" s="418">
        <v>654</v>
      </c>
      <c r="C4" s="418"/>
      <c r="D4" s="418">
        <v>654</v>
      </c>
      <c r="E4" s="418"/>
      <c r="F4" s="418">
        <v>654</v>
      </c>
    </row>
    <row r="5" spans="1:7" x14ac:dyDescent="0.3">
      <c r="B5" s="418">
        <v>8475</v>
      </c>
      <c r="C5" s="418"/>
      <c r="D5" s="418">
        <v>8475</v>
      </c>
      <c r="E5" s="418"/>
      <c r="F5" s="418">
        <v>8475</v>
      </c>
    </row>
    <row r="6" spans="1:7" x14ac:dyDescent="0.3">
      <c r="B6" s="418">
        <v>5676</v>
      </c>
      <c r="C6" s="418"/>
      <c r="D6" s="418">
        <v>5676</v>
      </c>
      <c r="E6" s="418"/>
      <c r="F6" s="418">
        <v>5676</v>
      </c>
    </row>
    <row r="7" spans="1:7" x14ac:dyDescent="0.3">
      <c r="B7" s="418">
        <v>865</v>
      </c>
      <c r="C7" s="418"/>
      <c r="D7" s="418">
        <v>865</v>
      </c>
      <c r="E7" s="418"/>
      <c r="F7" s="418">
        <v>865</v>
      </c>
    </row>
    <row r="8" spans="1:7" x14ac:dyDescent="0.3">
      <c r="B8" s="418">
        <v>866</v>
      </c>
      <c r="C8" s="418"/>
      <c r="D8" s="418">
        <v>866</v>
      </c>
      <c r="E8" s="418"/>
      <c r="F8" s="418">
        <v>866</v>
      </c>
    </row>
    <row r="9" spans="1:7" x14ac:dyDescent="0.3">
      <c r="B9" s="418">
        <v>6576</v>
      </c>
      <c r="C9" s="418"/>
      <c r="D9" s="418">
        <v>6576</v>
      </c>
      <c r="E9" s="418"/>
      <c r="F9" s="418">
        <v>6576</v>
      </c>
    </row>
    <row r="10" spans="1:7" x14ac:dyDescent="0.3">
      <c r="B10" s="418">
        <v>858</v>
      </c>
      <c r="C10" s="418"/>
      <c r="D10" s="418">
        <v>858</v>
      </c>
      <c r="E10" s="418"/>
      <c r="F10" s="418">
        <v>858</v>
      </c>
    </row>
    <row r="11" spans="1:7" x14ac:dyDescent="0.3">
      <c r="B11" s="418">
        <v>457</v>
      </c>
      <c r="C11" s="418"/>
      <c r="D11" s="418">
        <v>457</v>
      </c>
      <c r="E11" s="418"/>
      <c r="F11" s="418">
        <v>457</v>
      </c>
    </row>
    <row r="12" spans="1:7" ht="15" thickBot="1" x14ac:dyDescent="0.35">
      <c r="B12" s="461">
        <f>SUM(B4,B5,B6,B7,B8,B9,B10,B11)</f>
        <v>24427</v>
      </c>
      <c r="C12" s="418"/>
      <c r="D12" s="461">
        <f>D4+D5+D6+D7+D8+D9+D10+D11</f>
        <v>24427</v>
      </c>
      <c r="E12" s="418"/>
      <c r="F12" s="461">
        <f>SUM(F4:F11)</f>
        <v>24427</v>
      </c>
    </row>
    <row r="13" spans="1:7" ht="15" thickTop="1" x14ac:dyDescent="0.3">
      <c r="C13" s="418"/>
      <c r="E13" s="418"/>
    </row>
    <row r="14" spans="1:7" ht="15" thickBot="1" x14ac:dyDescent="0.35">
      <c r="B14" s="461" t="s">
        <v>634</v>
      </c>
      <c r="C14" s="418"/>
      <c r="D14" s="461" t="s">
        <v>635</v>
      </c>
      <c r="E14" s="418"/>
      <c r="F14" s="461" t="s">
        <v>636</v>
      </c>
    </row>
    <row r="15" spans="1:7" ht="15" thickTop="1" x14ac:dyDescent="0.3">
      <c r="E15" s="418"/>
    </row>
    <row r="16" spans="1:7" x14ac:dyDescent="0.3">
      <c r="E16" s="418"/>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6" workbookViewId="0"/>
  </sheetViews>
  <sheetFormatPr defaultRowHeight="14.4" x14ac:dyDescent="0.3"/>
  <sheetData>
    <row r="1" spans="1:1" ht="25.8" x14ac:dyDescent="0.5">
      <c r="A1" s="693"/>
    </row>
  </sheetData>
  <pageMargins left="0.7" right="0.7" top="0.75" bottom="0.75" header="0.3" footer="0.3"/>
  <pageSetup orientation="portrait" horizontalDpi="200" verticalDpi="2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workbookViewId="0">
      <selection activeCell="H26" sqref="H26"/>
    </sheetView>
  </sheetViews>
  <sheetFormatPr defaultColWidth="9.109375" defaultRowHeight="24.6" x14ac:dyDescent="0.4"/>
  <cols>
    <col min="1" max="1" width="3.44140625" style="3" customWidth="1"/>
    <col min="2" max="2" width="12.6640625" style="114" customWidth="1"/>
    <col min="3" max="4" width="15.88671875" style="3" customWidth="1"/>
    <col min="5" max="5" width="8.44140625" style="3" customWidth="1"/>
    <col min="6" max="6" width="27.88671875" style="3" customWidth="1"/>
    <col min="7" max="9" width="15.88671875" style="3" customWidth="1"/>
    <col min="10" max="10" width="11.5546875" style="3" customWidth="1"/>
    <col min="11" max="26" width="10.33203125" style="3" customWidth="1"/>
    <col min="27" max="29" width="10" style="3" customWidth="1"/>
    <col min="30" max="16384" width="9.109375" style="3"/>
  </cols>
  <sheetData>
    <row r="1" spans="1:9" ht="30" x14ac:dyDescent="0.5">
      <c r="A1" s="113" t="s">
        <v>1758</v>
      </c>
      <c r="E1" s="633" t="s">
        <v>3016</v>
      </c>
      <c r="I1" s="114"/>
    </row>
    <row r="2" spans="1:9" ht="30" x14ac:dyDescent="0.5">
      <c r="A2" s="115" t="s">
        <v>444</v>
      </c>
      <c r="I2" s="114"/>
    </row>
    <row r="3" spans="1:9" ht="14.4" x14ac:dyDescent="0.3">
      <c r="B3" s="3"/>
    </row>
    <row r="4" spans="1:9" x14ac:dyDescent="0.4">
      <c r="B4" s="3"/>
      <c r="F4" s="116">
        <v>39510</v>
      </c>
    </row>
    <row r="5" spans="1:9" ht="14.4" x14ac:dyDescent="0.3">
      <c r="B5" s="3"/>
    </row>
    <row r="6" spans="1:9" x14ac:dyDescent="0.4">
      <c r="B6" s="3"/>
      <c r="F6" s="117">
        <f>WEEKNUM(F4)</f>
        <v>10</v>
      </c>
    </row>
    <row r="7" spans="1:9" ht="14.4" x14ac:dyDescent="0.3">
      <c r="B7" s="3"/>
    </row>
    <row r="8" spans="1:9" ht="14.4" x14ac:dyDescent="0.3">
      <c r="B8" s="3"/>
    </row>
    <row r="9" spans="1:9" ht="14.4" x14ac:dyDescent="0.3">
      <c r="B9" s="3"/>
    </row>
    <row r="10" spans="1:9" ht="14.4" x14ac:dyDescent="0.3">
      <c r="B10" s="3"/>
    </row>
    <row r="11" spans="1:9" ht="14.4" x14ac:dyDescent="0.3">
      <c r="B11" s="3"/>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40"/>
  <sheetViews>
    <sheetView showGridLines="0" zoomScale="70" zoomScaleNormal="70" workbookViewId="0">
      <selection activeCell="D32" sqref="D32"/>
    </sheetView>
  </sheetViews>
  <sheetFormatPr defaultColWidth="9.109375" defaultRowHeight="14.4" x14ac:dyDescent="0.3"/>
  <cols>
    <col min="1" max="1" width="26.44140625" style="3" customWidth="1"/>
    <col min="2" max="2" width="21.6640625" style="3" customWidth="1"/>
    <col min="3" max="3" width="4.6640625" style="3" customWidth="1"/>
    <col min="4" max="4" width="106.109375" style="3" customWidth="1"/>
    <col min="5" max="9" width="9" style="3" customWidth="1"/>
    <col min="10" max="16384" width="9.109375" style="3"/>
  </cols>
  <sheetData>
    <row r="1" spans="1:5" ht="22.8" x14ac:dyDescent="0.4">
      <c r="A1" s="2" t="s">
        <v>20</v>
      </c>
      <c r="E1" s="633" t="s">
        <v>3016</v>
      </c>
    </row>
    <row r="2" spans="1:5" x14ac:dyDescent="0.3">
      <c r="A2" s="3" t="s">
        <v>22</v>
      </c>
    </row>
    <row r="3" spans="1:5" x14ac:dyDescent="0.3">
      <c r="A3" s="3" t="s">
        <v>326</v>
      </c>
    </row>
    <row r="4" spans="1:5" x14ac:dyDescent="0.3">
      <c r="A4" s="3" t="s">
        <v>398</v>
      </c>
    </row>
    <row r="5" spans="1:5" x14ac:dyDescent="0.3">
      <c r="A5" s="3" t="s">
        <v>399</v>
      </c>
    </row>
    <row r="7" spans="1:5" ht="22.8" x14ac:dyDescent="0.4">
      <c r="A7" s="2" t="s">
        <v>21</v>
      </c>
    </row>
    <row r="9" spans="1:5" ht="20.399999999999999" thickBot="1" x14ac:dyDescent="0.45">
      <c r="A9" s="104" t="s">
        <v>33</v>
      </c>
      <c r="B9" s="104"/>
      <c r="D9" s="104" t="s">
        <v>352</v>
      </c>
    </row>
    <row r="10" spans="1:5" ht="15" thickTop="1" x14ac:dyDescent="0.3">
      <c r="A10" s="105" t="s">
        <v>23</v>
      </c>
      <c r="B10" s="106">
        <f>-PMT(B12/B14,B15,B11)</f>
        <v>1580.1700587324092</v>
      </c>
      <c r="D10" s="3" t="s">
        <v>347</v>
      </c>
    </row>
    <row r="11" spans="1:5" x14ac:dyDescent="0.3">
      <c r="A11" s="8" t="s">
        <v>24</v>
      </c>
      <c r="B11" s="107">
        <v>250000</v>
      </c>
      <c r="D11" s="3" t="s">
        <v>400</v>
      </c>
    </row>
    <row r="12" spans="1:5" x14ac:dyDescent="0.3">
      <c r="A12" s="3" t="s">
        <v>25</v>
      </c>
      <c r="B12" s="108">
        <v>6.5000000000000002E-2</v>
      </c>
      <c r="D12" s="3" t="s">
        <v>401</v>
      </c>
    </row>
    <row r="13" spans="1:5" x14ac:dyDescent="0.3">
      <c r="A13" s="8" t="s">
        <v>26</v>
      </c>
      <c r="B13" s="109">
        <v>30</v>
      </c>
      <c r="D13" s="3" t="s">
        <v>402</v>
      </c>
    </row>
    <row r="14" spans="1:5" x14ac:dyDescent="0.3">
      <c r="A14" s="3" t="s">
        <v>27</v>
      </c>
      <c r="B14" s="48">
        <v>12</v>
      </c>
      <c r="D14" s="3" t="s">
        <v>348</v>
      </c>
    </row>
    <row r="15" spans="1:5" x14ac:dyDescent="0.3">
      <c r="A15" s="8" t="s">
        <v>28</v>
      </c>
      <c r="B15" s="109">
        <f>B13*B14</f>
        <v>360</v>
      </c>
      <c r="D15" s="3" t="s">
        <v>41</v>
      </c>
    </row>
    <row r="17" spans="1:4" ht="20.399999999999999" thickBot="1" x14ac:dyDescent="0.45">
      <c r="A17" s="104" t="s">
        <v>32</v>
      </c>
      <c r="B17" s="104"/>
      <c r="D17" s="104" t="s">
        <v>353</v>
      </c>
    </row>
    <row r="18" spans="1:4" ht="15" thickTop="1" x14ac:dyDescent="0.3">
      <c r="A18" s="105" t="s">
        <v>23</v>
      </c>
      <c r="B18" s="106">
        <f>-PMT(B20/B22,B23,B19,B24)</f>
        <v>1162.9419196974231</v>
      </c>
      <c r="D18" s="3" t="s">
        <v>349</v>
      </c>
    </row>
    <row r="19" spans="1:4" x14ac:dyDescent="0.3">
      <c r="A19" s="8" t="s">
        <v>24</v>
      </c>
      <c r="B19" s="107">
        <v>200000</v>
      </c>
      <c r="D19" s="3" t="s">
        <v>403</v>
      </c>
    </row>
    <row r="20" spans="1:4" x14ac:dyDescent="0.3">
      <c r="A20" s="3" t="s">
        <v>25</v>
      </c>
      <c r="B20" s="108">
        <v>5.5E-2</v>
      </c>
      <c r="D20" s="3" t="s">
        <v>404</v>
      </c>
    </row>
    <row r="21" spans="1:4" x14ac:dyDescent="0.3">
      <c r="A21" s="8" t="s">
        <v>26</v>
      </c>
      <c r="B21" s="109">
        <v>30</v>
      </c>
    </row>
    <row r="22" spans="1:4" x14ac:dyDescent="0.3">
      <c r="A22" s="3" t="s">
        <v>27</v>
      </c>
      <c r="B22" s="48">
        <v>12</v>
      </c>
    </row>
    <row r="23" spans="1:4" x14ac:dyDescent="0.3">
      <c r="A23" s="8" t="s">
        <v>28</v>
      </c>
      <c r="B23" s="109">
        <f>B21*B22</f>
        <v>360</v>
      </c>
    </row>
    <row r="24" spans="1:4" x14ac:dyDescent="0.3">
      <c r="A24" s="102" t="s">
        <v>29</v>
      </c>
      <c r="B24" s="110">
        <v>25000</v>
      </c>
    </row>
    <row r="26" spans="1:4" ht="20.399999999999999" thickBot="1" x14ac:dyDescent="0.45">
      <c r="A26" s="104" t="s">
        <v>30</v>
      </c>
      <c r="B26" s="104"/>
      <c r="D26" s="104" t="s">
        <v>354</v>
      </c>
    </row>
    <row r="27" spans="1:4" ht="15" thickTop="1" x14ac:dyDescent="0.3">
      <c r="A27" s="105" t="s">
        <v>23</v>
      </c>
      <c r="B27" s="106">
        <f>-PMT(B29/B31,B32,0,B28)</f>
        <v>357.80372349194761</v>
      </c>
      <c r="D27" s="111" t="s">
        <v>350</v>
      </c>
    </row>
    <row r="28" spans="1:4" x14ac:dyDescent="0.3">
      <c r="A28" s="8" t="s">
        <v>31</v>
      </c>
      <c r="B28" s="107">
        <v>50000</v>
      </c>
      <c r="D28" s="3" t="s">
        <v>35</v>
      </c>
    </row>
    <row r="29" spans="1:4" x14ac:dyDescent="0.3">
      <c r="A29" s="3" t="s">
        <v>25</v>
      </c>
      <c r="B29" s="108">
        <v>0.03</v>
      </c>
      <c r="D29" s="23" t="s">
        <v>36</v>
      </c>
    </row>
    <row r="30" spans="1:4" x14ac:dyDescent="0.3">
      <c r="A30" s="8" t="s">
        <v>26</v>
      </c>
      <c r="B30" s="109">
        <v>10</v>
      </c>
      <c r="D30" s="112"/>
    </row>
    <row r="31" spans="1:4" x14ac:dyDescent="0.3">
      <c r="A31" s="3" t="s">
        <v>27</v>
      </c>
      <c r="B31" s="48">
        <v>12</v>
      </c>
      <c r="D31" s="112"/>
    </row>
    <row r="32" spans="1:4" x14ac:dyDescent="0.3">
      <c r="A32" s="8" t="s">
        <v>28</v>
      </c>
      <c r="B32" s="109">
        <f>B30*B31</f>
        <v>120</v>
      </c>
      <c r="D32" s="112"/>
    </row>
    <row r="34" spans="1:4" ht="20.399999999999999" thickBot="1" x14ac:dyDescent="0.45">
      <c r="A34" s="104" t="s">
        <v>34</v>
      </c>
      <c r="B34" s="104"/>
      <c r="D34" s="104" t="s">
        <v>355</v>
      </c>
    </row>
    <row r="35" spans="1:4" ht="15" thickTop="1" x14ac:dyDescent="0.3">
      <c r="A35" s="105" t="s">
        <v>23</v>
      </c>
      <c r="B35" s="106">
        <f>-PMT(((1+(B37/2))^2)^(1/12)-1,B40,B36)</f>
        <v>1566.0060791492442</v>
      </c>
      <c r="D35" s="3" t="s">
        <v>351</v>
      </c>
    </row>
    <row r="36" spans="1:4" x14ac:dyDescent="0.3">
      <c r="A36" s="8" t="s">
        <v>24</v>
      </c>
      <c r="B36" s="107">
        <v>250000</v>
      </c>
      <c r="D36" s="3" t="s">
        <v>38</v>
      </c>
    </row>
    <row r="37" spans="1:4" ht="15" customHeight="1" x14ac:dyDescent="0.3">
      <c r="A37" s="3" t="s">
        <v>25</v>
      </c>
      <c r="B37" s="108">
        <v>6.5000000000000002E-2</v>
      </c>
      <c r="D37" s="23" t="s">
        <v>39</v>
      </c>
    </row>
    <row r="38" spans="1:4" x14ac:dyDescent="0.3">
      <c r="A38" s="8" t="s">
        <v>26</v>
      </c>
      <c r="B38" s="109">
        <v>30</v>
      </c>
      <c r="D38" s="23" t="s">
        <v>37</v>
      </c>
    </row>
    <row r="39" spans="1:4" x14ac:dyDescent="0.3">
      <c r="A39" s="3" t="s">
        <v>27</v>
      </c>
      <c r="B39" s="48">
        <v>12</v>
      </c>
      <c r="D39" s="23" t="s">
        <v>40</v>
      </c>
    </row>
    <row r="40" spans="1:4" x14ac:dyDescent="0.3">
      <c r="A40" s="8" t="s">
        <v>28</v>
      </c>
      <c r="B40" s="109">
        <f>B38*B39</f>
        <v>360</v>
      </c>
      <c r="D40" s="112"/>
    </row>
  </sheetData>
  <phoneticPr fontId="0" type="noConversion"/>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4"/>
  <sheetViews>
    <sheetView showGridLines="0" topLeftCell="A7" workbookViewId="0">
      <selection activeCell="D32" sqref="D32"/>
    </sheetView>
  </sheetViews>
  <sheetFormatPr defaultColWidth="9.109375" defaultRowHeight="14.4" x14ac:dyDescent="0.3"/>
  <cols>
    <col min="1" max="1" width="17" style="3" customWidth="1"/>
    <col min="2" max="2" width="13.6640625" style="3" customWidth="1"/>
    <col min="3" max="3" width="11.109375" style="3" customWidth="1"/>
    <col min="4" max="4" width="49.5546875" style="3" customWidth="1"/>
    <col min="5" max="5" width="24.44140625" style="3" customWidth="1"/>
    <col min="6" max="6" width="41.6640625" style="3" customWidth="1"/>
    <col min="7" max="16384" width="9.109375" style="3"/>
  </cols>
  <sheetData>
    <row r="1" spans="1:6" ht="22.8" x14ac:dyDescent="0.4">
      <c r="A1" s="2" t="s">
        <v>42</v>
      </c>
      <c r="E1" s="633" t="s">
        <v>3016</v>
      </c>
    </row>
    <row r="2" spans="1:6" x14ac:dyDescent="0.3">
      <c r="A2" s="3" t="s">
        <v>396</v>
      </c>
    </row>
    <row r="3" spans="1:6" x14ac:dyDescent="0.3">
      <c r="A3" s="3" t="s">
        <v>397</v>
      </c>
    </row>
    <row r="4" spans="1:6" s="98" customFormat="1" ht="10.199999999999999" x14ac:dyDescent="0.2"/>
    <row r="5" spans="1:6" ht="18" thickBot="1" x14ac:dyDescent="0.4">
      <c r="A5" s="6" t="s">
        <v>43</v>
      </c>
      <c r="B5" s="6"/>
      <c r="C5" s="6"/>
      <c r="D5" s="6"/>
      <c r="E5" s="7" t="s">
        <v>95</v>
      </c>
      <c r="F5" s="6"/>
    </row>
    <row r="6" spans="1:6" ht="15" thickTop="1" x14ac:dyDescent="0.3">
      <c r="A6" s="10" t="s">
        <v>44</v>
      </c>
      <c r="B6" s="10"/>
      <c r="C6" s="10"/>
      <c r="D6" s="10"/>
      <c r="E6" s="10"/>
      <c r="F6" s="10"/>
    </row>
    <row r="7" spans="1:6" x14ac:dyDescent="0.3">
      <c r="A7" s="13">
        <f ca="1">TODAY()</f>
        <v>41386</v>
      </c>
      <c r="B7" s="13">
        <v>39448</v>
      </c>
      <c r="C7" s="3">
        <f ca="1">A7-B7</f>
        <v>1938</v>
      </c>
      <c r="D7" s="5" t="s">
        <v>47</v>
      </c>
      <c r="E7" s="4" t="s">
        <v>93</v>
      </c>
    </row>
    <row r="8" spans="1:6" s="98" customFormat="1" ht="10.199999999999999" x14ac:dyDescent="0.2"/>
    <row r="9" spans="1:6" x14ac:dyDescent="0.3">
      <c r="A9" s="10" t="s">
        <v>45</v>
      </c>
      <c r="B9" s="10"/>
      <c r="C9" s="10"/>
      <c r="D9" s="10"/>
      <c r="E9" s="10"/>
      <c r="F9" s="10"/>
    </row>
    <row r="10" spans="1:6" x14ac:dyDescent="0.3">
      <c r="A10" s="13">
        <f ca="1">TODAY()</f>
        <v>41386</v>
      </c>
      <c r="B10" s="3">
        <v>90</v>
      </c>
      <c r="C10" s="13">
        <f ca="1">A10+B10</f>
        <v>41476</v>
      </c>
      <c r="D10" s="5" t="s">
        <v>46</v>
      </c>
      <c r="E10" s="4" t="s">
        <v>94</v>
      </c>
    </row>
    <row r="11" spans="1:6" s="98" customFormat="1" ht="10.199999999999999" x14ac:dyDescent="0.2"/>
    <row r="12" spans="1:6" ht="18" thickBot="1" x14ac:dyDescent="0.4">
      <c r="A12" s="15" t="s">
        <v>42</v>
      </c>
      <c r="B12" s="6"/>
      <c r="C12" s="15"/>
      <c r="D12" s="16"/>
      <c r="E12" s="6" t="s">
        <v>96</v>
      </c>
      <c r="F12" s="6" t="s">
        <v>48</v>
      </c>
    </row>
    <row r="13" spans="1:6" ht="15" thickTop="1" x14ac:dyDescent="0.3">
      <c r="A13" s="10" t="s">
        <v>49</v>
      </c>
      <c r="B13" s="10" t="s">
        <v>50</v>
      </c>
      <c r="C13" s="10"/>
      <c r="D13" s="10"/>
      <c r="E13" s="8" t="s">
        <v>96</v>
      </c>
      <c r="F13" s="10"/>
    </row>
    <row r="14" spans="1:6" x14ac:dyDescent="0.3">
      <c r="A14" s="13">
        <f ca="1">TODAY()</f>
        <v>41386</v>
      </c>
      <c r="B14" s="3">
        <v>3</v>
      </c>
      <c r="C14" s="13">
        <f ca="1">EDATE(A14,B14)</f>
        <v>41477</v>
      </c>
      <c r="D14" s="5" t="s">
        <v>321</v>
      </c>
      <c r="E14" s="4" t="s">
        <v>85</v>
      </c>
      <c r="F14" s="3" t="s">
        <v>322</v>
      </c>
    </row>
    <row r="15" spans="1:6" s="98" customFormat="1" ht="10.199999999999999" x14ac:dyDescent="0.2"/>
    <row r="16" spans="1:6" x14ac:dyDescent="0.3">
      <c r="A16" s="10" t="s">
        <v>51</v>
      </c>
      <c r="B16" s="10" t="s">
        <v>52</v>
      </c>
      <c r="C16" s="10"/>
      <c r="D16" s="18"/>
      <c r="E16" s="8"/>
      <c r="F16" s="10"/>
    </row>
    <row r="17" spans="1:6" x14ac:dyDescent="0.3">
      <c r="A17" s="13">
        <f ca="1">TODAY()</f>
        <v>41386</v>
      </c>
      <c r="B17" s="3">
        <v>0</v>
      </c>
      <c r="C17" s="13">
        <f ca="1">EOMONTH(A17,B17)</f>
        <v>41394</v>
      </c>
      <c r="D17" s="5" t="s">
        <v>53</v>
      </c>
      <c r="E17" s="19" t="s">
        <v>86</v>
      </c>
      <c r="F17" s="3" t="s">
        <v>323</v>
      </c>
    </row>
    <row r="18" spans="1:6" x14ac:dyDescent="0.3">
      <c r="A18" s="13">
        <f ca="1">TODAY()</f>
        <v>41386</v>
      </c>
      <c r="B18" s="3">
        <v>1</v>
      </c>
      <c r="C18" s="13">
        <f ca="1">EOMONTH(A18,B18)</f>
        <v>41425</v>
      </c>
      <c r="D18" s="5" t="s">
        <v>54</v>
      </c>
      <c r="E18" s="19" t="s">
        <v>87</v>
      </c>
    </row>
    <row r="19" spans="1:6" x14ac:dyDescent="0.3">
      <c r="A19" s="13">
        <f ca="1">TODAY()</f>
        <v>41386</v>
      </c>
      <c r="B19" s="3">
        <v>3</v>
      </c>
      <c r="C19" s="13">
        <f ca="1">EOMONTH(A19,B19)</f>
        <v>41486</v>
      </c>
      <c r="D19" s="5" t="s">
        <v>55</v>
      </c>
      <c r="E19" s="19" t="s">
        <v>88</v>
      </c>
    </row>
    <row r="20" spans="1:6" s="98" customFormat="1" ht="10.199999999999999" x14ac:dyDescent="0.2"/>
    <row r="21" spans="1:6" x14ac:dyDescent="0.3">
      <c r="A21" s="99" t="s">
        <v>56</v>
      </c>
      <c r="B21" s="10" t="s">
        <v>57</v>
      </c>
      <c r="C21" s="10"/>
      <c r="D21" s="10"/>
      <c r="E21" s="8"/>
      <c r="F21" s="10"/>
    </row>
    <row r="22" spans="1:6" x14ac:dyDescent="0.3">
      <c r="A22" s="13">
        <f ca="1">TODAY()</f>
        <v>41386</v>
      </c>
      <c r="B22" s="13">
        <f ca="1">C17</f>
        <v>41394</v>
      </c>
      <c r="C22" s="3">
        <f ca="1">NETWORKDAYS(A22,B22)</f>
        <v>7</v>
      </c>
      <c r="D22" s="5" t="s">
        <v>64</v>
      </c>
      <c r="E22" s="4" t="s">
        <v>89</v>
      </c>
      <c r="F22" s="3" t="s">
        <v>324</v>
      </c>
    </row>
    <row r="23" spans="1:6" ht="28.8" x14ac:dyDescent="0.3">
      <c r="A23" s="22">
        <f ca="1">TODAY()</f>
        <v>41386</v>
      </c>
      <c r="B23" s="22">
        <f ca="1">C18</f>
        <v>41425</v>
      </c>
      <c r="C23" s="23">
        <f ca="1">NETWORKDAYS(A23,B23)</f>
        <v>30</v>
      </c>
      <c r="D23" s="24" t="s">
        <v>65</v>
      </c>
      <c r="E23" s="25" t="s">
        <v>90</v>
      </c>
      <c r="F23" s="26" t="s">
        <v>58</v>
      </c>
    </row>
    <row r="24" spans="1:6" s="98" customFormat="1" ht="10.199999999999999" x14ac:dyDescent="0.2"/>
    <row r="25" spans="1:6" x14ac:dyDescent="0.3">
      <c r="A25" s="99" t="s">
        <v>59</v>
      </c>
      <c r="B25" s="10" t="s">
        <v>60</v>
      </c>
      <c r="C25" s="10"/>
      <c r="D25" s="10"/>
      <c r="E25" s="8"/>
      <c r="F25" s="10"/>
    </row>
    <row r="26" spans="1:6" x14ac:dyDescent="0.3">
      <c r="A26" s="13">
        <f ca="1">TODAY()</f>
        <v>41386</v>
      </c>
      <c r="B26" s="3">
        <v>5</v>
      </c>
      <c r="C26" s="13">
        <f ca="1">WORKDAY(A26,-B26)</f>
        <v>41379</v>
      </c>
      <c r="D26" s="5" t="s">
        <v>61</v>
      </c>
      <c r="E26" s="4" t="s">
        <v>91</v>
      </c>
      <c r="F26" s="3" t="s">
        <v>325</v>
      </c>
    </row>
    <row r="27" spans="1:6" ht="28.8" x14ac:dyDescent="0.3">
      <c r="A27" s="22">
        <f ca="1">TODAY()</f>
        <v>41386</v>
      </c>
      <c r="B27" s="23">
        <v>45</v>
      </c>
      <c r="C27" s="22">
        <f ca="1">WORKDAY(A27,B27)</f>
        <v>41449</v>
      </c>
      <c r="D27" s="24" t="s">
        <v>62</v>
      </c>
      <c r="E27" s="25" t="s">
        <v>92</v>
      </c>
      <c r="F27" s="26" t="s">
        <v>58</v>
      </c>
    </row>
    <row r="28" spans="1:6" s="98" customFormat="1" ht="10.199999999999999" x14ac:dyDescent="0.2"/>
    <row r="29" spans="1:6" ht="18" thickBot="1" x14ac:dyDescent="0.4">
      <c r="A29" s="15" t="s">
        <v>66</v>
      </c>
      <c r="B29" s="6"/>
      <c r="C29" s="15"/>
      <c r="D29" s="16"/>
      <c r="E29" s="6" t="s">
        <v>97</v>
      </c>
      <c r="F29" s="6" t="s">
        <v>48</v>
      </c>
    </row>
    <row r="30" spans="1:6" ht="15" thickTop="1" x14ac:dyDescent="0.3">
      <c r="A30" s="8" t="s">
        <v>67</v>
      </c>
      <c r="B30" s="8" t="s">
        <v>68</v>
      </c>
      <c r="C30" s="10"/>
      <c r="D30" s="10"/>
      <c r="E30" s="10"/>
      <c r="F30" s="10"/>
    </row>
    <row r="31" spans="1:6" x14ac:dyDescent="0.3">
      <c r="A31" s="13">
        <f ca="1">TODAY()</f>
        <v>41386</v>
      </c>
      <c r="B31" s="3">
        <f ca="1">DAY(A31)</f>
        <v>22</v>
      </c>
      <c r="E31" s="4" t="s">
        <v>69</v>
      </c>
      <c r="F31" s="3" t="s">
        <v>71</v>
      </c>
    </row>
    <row r="32" spans="1:6" s="98" customFormat="1" ht="10.199999999999999" x14ac:dyDescent="0.2"/>
    <row r="33" spans="1:6" x14ac:dyDescent="0.3">
      <c r="A33" s="99" t="s">
        <v>72</v>
      </c>
      <c r="B33" s="10" t="s">
        <v>73</v>
      </c>
      <c r="C33" s="10"/>
      <c r="D33" s="10"/>
      <c r="E33" s="10"/>
      <c r="F33" s="10"/>
    </row>
    <row r="34" spans="1:6" x14ac:dyDescent="0.3">
      <c r="A34" s="13">
        <f t="shared" ref="A34:A40" ca="1" si="0">TODAY()</f>
        <v>41386</v>
      </c>
      <c r="B34" s="3">
        <f ca="1">MONTH(A34)</f>
        <v>4</v>
      </c>
      <c r="E34" s="4" t="s">
        <v>74</v>
      </c>
      <c r="F34" s="3" t="s">
        <v>75</v>
      </c>
    </row>
    <row r="35" spans="1:6" s="98" customFormat="1" ht="10.199999999999999" x14ac:dyDescent="0.2"/>
    <row r="36" spans="1:6" x14ac:dyDescent="0.3">
      <c r="A36" s="99" t="s">
        <v>76</v>
      </c>
      <c r="B36" s="10" t="s">
        <v>77</v>
      </c>
      <c r="C36" s="10"/>
      <c r="D36" s="10"/>
      <c r="E36" s="10"/>
      <c r="F36" s="10"/>
    </row>
    <row r="37" spans="1:6" x14ac:dyDescent="0.3">
      <c r="A37" s="13">
        <f t="shared" ca="1" si="0"/>
        <v>41386</v>
      </c>
      <c r="B37" s="3">
        <f ca="1">YEAR(A37)</f>
        <v>2013</v>
      </c>
      <c r="E37" s="4" t="s">
        <v>78</v>
      </c>
      <c r="F37" s="3" t="s">
        <v>79</v>
      </c>
    </row>
    <row r="38" spans="1:6" s="98" customFormat="1" ht="10.199999999999999" x14ac:dyDescent="0.2"/>
    <row r="39" spans="1:6" x14ac:dyDescent="0.3">
      <c r="A39" s="99" t="s">
        <v>80</v>
      </c>
      <c r="B39" s="10" t="s">
        <v>81</v>
      </c>
      <c r="C39" s="10"/>
      <c r="D39" s="10"/>
      <c r="E39" s="100"/>
      <c r="F39" s="10"/>
    </row>
    <row r="40" spans="1:6" x14ac:dyDescent="0.3">
      <c r="A40" s="13">
        <f t="shared" ca="1" si="0"/>
        <v>41386</v>
      </c>
      <c r="E40" s="101" t="s">
        <v>82</v>
      </c>
      <c r="F40" s="102" t="s">
        <v>83</v>
      </c>
    </row>
    <row r="41" spans="1:6" s="98" customFormat="1" ht="10.199999999999999" x14ac:dyDescent="0.2"/>
    <row r="42" spans="1:6" x14ac:dyDescent="0.3">
      <c r="A42" s="20" t="s">
        <v>164</v>
      </c>
      <c r="B42" s="8" t="s">
        <v>167</v>
      </c>
      <c r="C42" s="10"/>
      <c r="D42" s="10"/>
      <c r="E42" s="8"/>
      <c r="F42" s="10"/>
    </row>
    <row r="43" spans="1:6" x14ac:dyDescent="0.3">
      <c r="A43" s="27">
        <f ca="1">NOW()</f>
        <v>41386.499875000001</v>
      </c>
      <c r="B43" s="21">
        <f ca="1">NOW()</f>
        <v>41386.499875000001</v>
      </c>
      <c r="D43" s="736" t="s">
        <v>168</v>
      </c>
      <c r="E43" s="103" t="s">
        <v>173</v>
      </c>
      <c r="F43" s="3" t="s">
        <v>165</v>
      </c>
    </row>
    <row r="44" spans="1:6" x14ac:dyDescent="0.3">
      <c r="A44" s="3" t="s">
        <v>169</v>
      </c>
      <c r="B44" s="3" t="s">
        <v>170</v>
      </c>
      <c r="D44" s="736"/>
    </row>
  </sheetData>
  <mergeCells count="1">
    <mergeCell ref="D43:D44"/>
  </mergeCells>
  <phoneticPr fontId="0" type="noConversion"/>
  <printOptions horizontalCentered="1"/>
  <pageMargins left="0.5" right="0.5" top="0.75" bottom="0.75" header="0.3" footer="0.3"/>
  <pageSetup scale="78" orientation="landscape" r:id="rId1"/>
  <headerFooter>
    <oddFooter>&amp;LBoni Mays
Fayetteville Technical Community College&amp;C&amp;P&amp;Rwww.maysstuff.com</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showGridLines="0" workbookViewId="0">
      <selection activeCell="D32" sqref="D32"/>
    </sheetView>
  </sheetViews>
  <sheetFormatPr defaultColWidth="9.109375" defaultRowHeight="14.4" x14ac:dyDescent="0.3"/>
  <cols>
    <col min="1" max="1" width="15.6640625" style="3" customWidth="1"/>
    <col min="2" max="2" width="12.88671875" style="3" customWidth="1"/>
    <col min="3" max="3" width="4.6640625" style="3" customWidth="1"/>
    <col min="4" max="8" width="9.109375" style="3"/>
    <col min="9" max="9" width="28.6640625" style="3" bestFit="1" customWidth="1"/>
    <col min="10" max="10" width="4.6640625" style="3" customWidth="1"/>
    <col min="11" max="11" width="63.88671875" style="3" customWidth="1"/>
    <col min="12" max="16384" width="9.109375" style="3"/>
  </cols>
  <sheetData>
    <row r="1" spans="1:11" ht="22.8" x14ac:dyDescent="0.4">
      <c r="A1" s="2" t="s">
        <v>84</v>
      </c>
      <c r="E1" s="633" t="s">
        <v>3016</v>
      </c>
    </row>
    <row r="2" spans="1:11" x14ac:dyDescent="0.3">
      <c r="A2" s="3" t="s">
        <v>114</v>
      </c>
    </row>
    <row r="4" spans="1:11" ht="18" thickBot="1" x14ac:dyDescent="0.4">
      <c r="A4" s="6" t="s">
        <v>70</v>
      </c>
      <c r="B4" s="6" t="s">
        <v>100</v>
      </c>
      <c r="C4" s="6"/>
      <c r="D4" s="6"/>
      <c r="E4" s="6"/>
      <c r="F4" s="6"/>
      <c r="G4" s="6"/>
      <c r="H4" s="6"/>
      <c r="I4" s="6" t="s">
        <v>70</v>
      </c>
      <c r="J4" s="6"/>
      <c r="K4" s="6" t="s">
        <v>48</v>
      </c>
    </row>
    <row r="5" spans="1:11" ht="15" thickTop="1" x14ac:dyDescent="0.3">
      <c r="A5" s="83" t="s">
        <v>98</v>
      </c>
      <c r="B5" s="84" t="s">
        <v>101</v>
      </c>
      <c r="C5" s="83"/>
      <c r="D5" s="83"/>
      <c r="E5" s="83"/>
      <c r="F5" s="83"/>
      <c r="G5" s="83"/>
      <c r="H5" s="83"/>
      <c r="I5" s="83"/>
      <c r="J5" s="83"/>
      <c r="K5" s="83"/>
    </row>
    <row r="6" spans="1:11" x14ac:dyDescent="0.3">
      <c r="A6" s="3" t="s">
        <v>108</v>
      </c>
      <c r="B6" s="85" t="s">
        <v>103</v>
      </c>
      <c r="D6" s="86"/>
      <c r="E6" s="86" t="s">
        <v>102</v>
      </c>
      <c r="F6" s="86" t="s">
        <v>103</v>
      </c>
      <c r="G6" s="86" t="s">
        <v>104</v>
      </c>
      <c r="K6" s="3" t="s">
        <v>105</v>
      </c>
    </row>
    <row r="7" spans="1:11" x14ac:dyDescent="0.3">
      <c r="A7" s="3" t="s">
        <v>109</v>
      </c>
      <c r="B7" s="87">
        <v>2</v>
      </c>
      <c r="D7" s="88">
        <v>2005</v>
      </c>
      <c r="E7" s="89">
        <v>2195</v>
      </c>
      <c r="F7" s="89">
        <v>2333</v>
      </c>
      <c r="G7" s="89">
        <v>1032</v>
      </c>
      <c r="I7" s="3" t="s">
        <v>119</v>
      </c>
      <c r="K7" s="3" t="s">
        <v>106</v>
      </c>
    </row>
    <row r="8" spans="1:11" x14ac:dyDescent="0.3">
      <c r="D8" s="88">
        <v>2006</v>
      </c>
      <c r="E8" s="90">
        <v>1854</v>
      </c>
      <c r="F8" s="90">
        <v>2939</v>
      </c>
      <c r="G8" s="90">
        <v>2040</v>
      </c>
      <c r="I8" s="3" t="s">
        <v>112</v>
      </c>
      <c r="K8" s="3" t="s">
        <v>107</v>
      </c>
    </row>
    <row r="9" spans="1:11" x14ac:dyDescent="0.3">
      <c r="A9" s="3" t="s">
        <v>110</v>
      </c>
      <c r="B9" s="91">
        <f>HLOOKUP(B6,D6:G9,B7,0)</f>
        <v>2333</v>
      </c>
      <c r="D9" s="88">
        <v>2007</v>
      </c>
      <c r="E9" s="89">
        <v>2847</v>
      </c>
      <c r="F9" s="89">
        <v>1325</v>
      </c>
      <c r="G9" s="89">
        <v>1203</v>
      </c>
      <c r="I9" s="4" t="s">
        <v>111</v>
      </c>
      <c r="K9" s="3" t="s">
        <v>408</v>
      </c>
    </row>
    <row r="10" spans="1:11" ht="43.2" x14ac:dyDescent="0.3">
      <c r="I10" s="92" t="s">
        <v>409</v>
      </c>
      <c r="K10" s="92" t="s">
        <v>410</v>
      </c>
    </row>
    <row r="11" spans="1:11" x14ac:dyDescent="0.3">
      <c r="A11" s="93">
        <v>15</v>
      </c>
      <c r="B11" s="93" t="str">
        <f>HLOOKUP(A11,D11:G12,2)</f>
        <v>Blue</v>
      </c>
      <c r="D11" s="94">
        <v>0</v>
      </c>
      <c r="E11" s="94">
        <v>25</v>
      </c>
      <c r="F11" s="94">
        <v>50</v>
      </c>
      <c r="G11" s="94">
        <v>75</v>
      </c>
      <c r="I11" s="4" t="s">
        <v>124</v>
      </c>
      <c r="K11" s="92"/>
    </row>
    <row r="12" spans="1:11" x14ac:dyDescent="0.3">
      <c r="A12" s="93">
        <v>51</v>
      </c>
      <c r="B12" s="93" t="str">
        <f>HLOOKUP(A12,D11:G12,2)</f>
        <v>Red</v>
      </c>
      <c r="D12" s="94" t="s">
        <v>120</v>
      </c>
      <c r="E12" s="94" t="s">
        <v>121</v>
      </c>
      <c r="F12" s="94" t="s">
        <v>122</v>
      </c>
      <c r="G12" s="94" t="s">
        <v>123</v>
      </c>
      <c r="I12" s="4" t="s">
        <v>125</v>
      </c>
      <c r="K12" s="92"/>
    </row>
    <row r="13" spans="1:11" x14ac:dyDescent="0.3">
      <c r="A13" s="93">
        <v>90</v>
      </c>
      <c r="B13" s="93" t="str">
        <f>HLOOKUP(A13,D11:G12,2)</f>
        <v>Yellow</v>
      </c>
      <c r="I13" s="4" t="s">
        <v>126</v>
      </c>
      <c r="K13" s="92"/>
    </row>
    <row r="14" spans="1:11" x14ac:dyDescent="0.3">
      <c r="K14" s="92"/>
    </row>
    <row r="16" spans="1:11" x14ac:dyDescent="0.3">
      <c r="A16" s="83" t="s">
        <v>99</v>
      </c>
      <c r="B16" s="84" t="s">
        <v>115</v>
      </c>
      <c r="C16" s="83"/>
      <c r="D16" s="83"/>
      <c r="E16" s="83"/>
      <c r="F16" s="83"/>
      <c r="G16" s="83"/>
      <c r="H16" s="83"/>
      <c r="I16" s="83"/>
      <c r="J16" s="83"/>
      <c r="K16" s="83"/>
    </row>
    <row r="17" spans="1:11" x14ac:dyDescent="0.3">
      <c r="A17" s="3" t="s">
        <v>108</v>
      </c>
      <c r="B17" s="95">
        <v>2006</v>
      </c>
      <c r="D17" s="86"/>
      <c r="E17" s="86" t="s">
        <v>102</v>
      </c>
      <c r="F17" s="86" t="s">
        <v>103</v>
      </c>
      <c r="G17" s="86" t="s">
        <v>104</v>
      </c>
      <c r="K17" s="3" t="s">
        <v>118</v>
      </c>
    </row>
    <row r="18" spans="1:11" x14ac:dyDescent="0.3">
      <c r="A18" s="3" t="s">
        <v>116</v>
      </c>
      <c r="B18" s="96">
        <v>2</v>
      </c>
      <c r="D18" s="88">
        <v>2005</v>
      </c>
      <c r="E18" s="89">
        <v>2195</v>
      </c>
      <c r="F18" s="89">
        <v>2333</v>
      </c>
      <c r="G18" s="89">
        <v>1032</v>
      </c>
      <c r="I18" s="3" t="s">
        <v>119</v>
      </c>
      <c r="K18" s="3" t="s">
        <v>117</v>
      </c>
    </row>
    <row r="19" spans="1:11" x14ac:dyDescent="0.3">
      <c r="D19" s="88">
        <v>2006</v>
      </c>
      <c r="E19" s="90">
        <v>1854</v>
      </c>
      <c r="F19" s="90">
        <v>2939</v>
      </c>
      <c r="G19" s="90">
        <v>2040</v>
      </c>
      <c r="I19" s="3" t="s">
        <v>127</v>
      </c>
      <c r="K19" s="3" t="s">
        <v>107</v>
      </c>
    </row>
    <row r="20" spans="1:11" x14ac:dyDescent="0.3">
      <c r="A20" s="3" t="s">
        <v>110</v>
      </c>
      <c r="B20" s="97">
        <f>VLOOKUP(B17,D17:G20,B18,0)</f>
        <v>1854</v>
      </c>
      <c r="D20" s="88">
        <v>2007</v>
      </c>
      <c r="E20" s="89">
        <v>2847</v>
      </c>
      <c r="F20" s="89">
        <v>1325</v>
      </c>
      <c r="G20" s="89">
        <v>1203</v>
      </c>
      <c r="I20" s="4" t="s">
        <v>128</v>
      </c>
      <c r="K20" s="3" t="s">
        <v>411</v>
      </c>
    </row>
    <row r="21" spans="1:11" ht="43.2" x14ac:dyDescent="0.3">
      <c r="A21" s="57" t="s">
        <v>327</v>
      </c>
      <c r="B21" s="57" t="s">
        <v>328</v>
      </c>
      <c r="C21" s="57"/>
      <c r="D21" s="57" t="s">
        <v>329</v>
      </c>
      <c r="E21" s="57" t="s">
        <v>328</v>
      </c>
      <c r="I21" s="92" t="s">
        <v>409</v>
      </c>
      <c r="K21" s="92" t="s">
        <v>412</v>
      </c>
    </row>
    <row r="22" spans="1:11" x14ac:dyDescent="0.3">
      <c r="A22" s="93">
        <v>83</v>
      </c>
      <c r="B22" s="93" t="str">
        <f>VLOOKUP(A22,$D$22:$E$26,2)</f>
        <v>B</v>
      </c>
      <c r="D22" s="93">
        <v>0</v>
      </c>
      <c r="E22" s="93" t="s">
        <v>113</v>
      </c>
      <c r="I22" s="4" t="s">
        <v>129</v>
      </c>
    </row>
    <row r="23" spans="1:11" x14ac:dyDescent="0.3">
      <c r="A23" s="93">
        <v>72</v>
      </c>
      <c r="B23" s="93" t="str">
        <f>VLOOKUP(A23,$D$22:$E$26,2)</f>
        <v>C</v>
      </c>
      <c r="D23" s="93">
        <v>60</v>
      </c>
      <c r="E23" s="93" t="s">
        <v>16</v>
      </c>
      <c r="I23" s="4" t="s">
        <v>130</v>
      </c>
    </row>
    <row r="24" spans="1:11" x14ac:dyDescent="0.3">
      <c r="A24" s="93">
        <v>99</v>
      </c>
      <c r="B24" s="93" t="str">
        <f>VLOOKUP(A24,$D$22:$E$26,2)</f>
        <v>A</v>
      </c>
      <c r="D24" s="93">
        <v>70</v>
      </c>
      <c r="E24" s="93" t="s">
        <v>15</v>
      </c>
      <c r="I24" s="4" t="s">
        <v>131</v>
      </c>
    </row>
    <row r="25" spans="1:11" x14ac:dyDescent="0.3">
      <c r="A25" s="93">
        <v>55</v>
      </c>
      <c r="B25" s="93" t="str">
        <f>VLOOKUP(A25,$D$22:$E$26,2)</f>
        <v>E</v>
      </c>
      <c r="D25" s="93">
        <v>80</v>
      </c>
      <c r="E25" s="93" t="s">
        <v>14</v>
      </c>
      <c r="I25" s="4" t="s">
        <v>132</v>
      </c>
    </row>
    <row r="26" spans="1:11" x14ac:dyDescent="0.3">
      <c r="A26" s="93">
        <v>90</v>
      </c>
      <c r="B26" s="93" t="str">
        <f>VLOOKUP(A26,$D$22:$E$26,2)</f>
        <v>A</v>
      </c>
      <c r="D26" s="93">
        <v>90</v>
      </c>
      <c r="E26" s="93" t="s">
        <v>13</v>
      </c>
      <c r="I26" s="4" t="s">
        <v>133</v>
      </c>
    </row>
  </sheetData>
  <phoneticPr fontId="0" type="noConversion"/>
  <printOptions horizontalCentered="1"/>
  <pageMargins left="0.5" right="0.5" top="0.75" bottom="0.75" header="0.3" footer="0.3"/>
  <pageSetup scale="72" orientation="landscape" r:id="rId1"/>
  <headerFooter alignWithMargins="0">
    <oddFooter>&amp;LBoni Mays
Fayetteville Technical Community College&amp;C&amp;P&amp;Rwww.maysstuff.com</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workbookViewId="0">
      <selection activeCell="D32" sqref="D32:D33"/>
    </sheetView>
  </sheetViews>
  <sheetFormatPr defaultColWidth="9.109375" defaultRowHeight="14.4" x14ac:dyDescent="0.3"/>
  <cols>
    <col min="1" max="1" width="17.6640625" style="3" customWidth="1"/>
    <col min="2" max="2" width="14.5546875" style="3" customWidth="1"/>
    <col min="3" max="3" width="13.6640625" style="3" customWidth="1"/>
    <col min="4" max="4" width="50.44140625" style="3" customWidth="1"/>
    <col min="5" max="5" width="27.88671875" style="3" customWidth="1"/>
    <col min="6" max="6" width="34.88671875" style="3" customWidth="1"/>
    <col min="7" max="16384" width="9.109375" style="3"/>
  </cols>
  <sheetData>
    <row r="1" spans="1:6" ht="22.8" x14ac:dyDescent="0.4">
      <c r="A1" s="2" t="s">
        <v>134</v>
      </c>
      <c r="E1" s="633" t="s">
        <v>3016</v>
      </c>
    </row>
    <row r="2" spans="1:6" x14ac:dyDescent="0.3">
      <c r="A2" s="3" t="s">
        <v>143</v>
      </c>
    </row>
    <row r="3" spans="1:6" x14ac:dyDescent="0.3">
      <c r="A3" s="3" t="s">
        <v>144</v>
      </c>
    </row>
    <row r="4" spans="1:6" x14ac:dyDescent="0.3">
      <c r="A4" s="3" t="s">
        <v>63</v>
      </c>
    </row>
    <row r="6" spans="1:6" ht="18" thickBot="1" x14ac:dyDescent="0.4">
      <c r="A6" s="6" t="s">
        <v>135</v>
      </c>
      <c r="B6" s="6"/>
      <c r="C6" s="6"/>
      <c r="D6" s="6"/>
      <c r="E6" s="7" t="s">
        <v>95</v>
      </c>
      <c r="F6" s="6" t="s">
        <v>141</v>
      </c>
    </row>
    <row r="7" spans="1:6" ht="15" thickTop="1" x14ac:dyDescent="0.3">
      <c r="A7" s="8" t="s">
        <v>136</v>
      </c>
      <c r="B7" s="9"/>
      <c r="C7" s="10"/>
      <c r="D7" s="10"/>
      <c r="E7" s="10"/>
      <c r="F7" s="10"/>
    </row>
    <row r="8" spans="1:6" x14ac:dyDescent="0.3">
      <c r="A8" s="11">
        <v>0.39583333333333298</v>
      </c>
      <c r="B8" s="11">
        <v>0.70833333333333304</v>
      </c>
      <c r="C8" s="12">
        <f>B8-A8</f>
        <v>0.31250000000000006</v>
      </c>
      <c r="D8" s="5" t="s">
        <v>137</v>
      </c>
      <c r="E8" s="4" t="s">
        <v>138</v>
      </c>
      <c r="F8" s="3" t="s">
        <v>142</v>
      </c>
    </row>
    <row r="9" spans="1:6" x14ac:dyDescent="0.3">
      <c r="A9" s="13"/>
      <c r="B9" s="13"/>
      <c r="D9" s="5"/>
      <c r="E9" s="4"/>
    </row>
    <row r="10" spans="1:6" x14ac:dyDescent="0.3">
      <c r="A10" s="8" t="s">
        <v>139</v>
      </c>
      <c r="B10" s="10"/>
      <c r="C10" s="10"/>
      <c r="D10" s="10"/>
      <c r="E10" s="10"/>
      <c r="F10" s="10"/>
    </row>
    <row r="11" spans="1:6" x14ac:dyDescent="0.3">
      <c r="A11" s="14">
        <v>0.54166666666666696</v>
      </c>
      <c r="B11" s="14">
        <v>0.5</v>
      </c>
      <c r="C11" s="12">
        <f>SUM(A11:B11)</f>
        <v>1.041666666666667</v>
      </c>
      <c r="D11" s="5" t="s">
        <v>140</v>
      </c>
      <c r="E11" s="4" t="s">
        <v>94</v>
      </c>
      <c r="F11" s="3" t="s">
        <v>142</v>
      </c>
    </row>
    <row r="12" spans="1:6" x14ac:dyDescent="0.3">
      <c r="A12" s="13"/>
      <c r="C12" s="13"/>
      <c r="D12" s="5"/>
      <c r="E12" s="4"/>
    </row>
    <row r="13" spans="1:6" ht="18" thickBot="1" x14ac:dyDescent="0.4">
      <c r="A13" s="15" t="s">
        <v>134</v>
      </c>
      <c r="B13" s="6"/>
      <c r="C13" s="15"/>
      <c r="D13" s="16"/>
      <c r="E13" s="6" t="s">
        <v>97</v>
      </c>
      <c r="F13" s="6" t="s">
        <v>48</v>
      </c>
    </row>
    <row r="14" spans="1:6" ht="15" thickTop="1" x14ac:dyDescent="0.3">
      <c r="A14" s="8" t="s">
        <v>145</v>
      </c>
      <c r="B14" s="9" t="s">
        <v>149</v>
      </c>
      <c r="C14" s="10"/>
      <c r="D14" s="10"/>
      <c r="E14" s="8"/>
      <c r="F14" s="10"/>
    </row>
    <row r="15" spans="1:6" x14ac:dyDescent="0.3">
      <c r="A15" s="17">
        <v>0.607951388888889</v>
      </c>
      <c r="B15" s="3">
        <f>HOUR(A15)</f>
        <v>14</v>
      </c>
      <c r="C15" s="13"/>
      <c r="D15" s="5"/>
      <c r="E15" s="4" t="s">
        <v>146</v>
      </c>
      <c r="F15" s="3" t="s">
        <v>147</v>
      </c>
    </row>
    <row r="16" spans="1:6" x14ac:dyDescent="0.3">
      <c r="A16" s="13"/>
      <c r="C16" s="13"/>
      <c r="D16" s="5"/>
      <c r="E16" s="4"/>
    </row>
    <row r="17" spans="1:6" x14ac:dyDescent="0.3">
      <c r="A17" s="8" t="s">
        <v>148</v>
      </c>
      <c r="B17" s="9" t="s">
        <v>150</v>
      </c>
      <c r="C17" s="10"/>
      <c r="D17" s="18"/>
      <c r="E17" s="8"/>
      <c r="F17" s="10"/>
    </row>
    <row r="18" spans="1:6" x14ac:dyDescent="0.3">
      <c r="A18" s="17">
        <v>0.607951388888889</v>
      </c>
      <c r="B18" s="3">
        <f>MINUTE(A18)</f>
        <v>35</v>
      </c>
      <c r="C18" s="13"/>
      <c r="D18" s="5"/>
      <c r="E18" s="19" t="s">
        <v>151</v>
      </c>
      <c r="F18" s="3" t="s">
        <v>152</v>
      </c>
    </row>
    <row r="19" spans="1:6" x14ac:dyDescent="0.3">
      <c r="A19" s="13"/>
      <c r="C19" s="13"/>
      <c r="D19" s="5"/>
      <c r="E19" s="4"/>
    </row>
    <row r="20" spans="1:6" x14ac:dyDescent="0.3">
      <c r="A20" s="20" t="s">
        <v>154</v>
      </c>
      <c r="B20" s="9" t="s">
        <v>155</v>
      </c>
      <c r="C20" s="10"/>
      <c r="D20" s="10"/>
      <c r="E20" s="8"/>
      <c r="F20" s="10"/>
    </row>
    <row r="21" spans="1:6" x14ac:dyDescent="0.3">
      <c r="A21" s="17">
        <v>0.607951388888889</v>
      </c>
      <c r="B21" s="21">
        <f>SECOND(A21)</f>
        <v>27</v>
      </c>
      <c r="D21" s="5"/>
      <c r="E21" s="4" t="s">
        <v>156</v>
      </c>
      <c r="F21" s="3" t="s">
        <v>153</v>
      </c>
    </row>
    <row r="22" spans="1:6" x14ac:dyDescent="0.3">
      <c r="A22" s="22"/>
      <c r="B22" s="22"/>
      <c r="C22" s="23"/>
      <c r="D22" s="24"/>
      <c r="E22" s="25"/>
      <c r="F22" s="26"/>
    </row>
    <row r="23" spans="1:6" x14ac:dyDescent="0.3">
      <c r="A23" s="20" t="s">
        <v>157</v>
      </c>
      <c r="B23" s="9" t="s">
        <v>171</v>
      </c>
      <c r="C23" s="10"/>
      <c r="D23" s="10"/>
      <c r="E23" s="8"/>
      <c r="F23" s="10"/>
    </row>
    <row r="24" spans="1:6" x14ac:dyDescent="0.3">
      <c r="A24" s="21">
        <v>14</v>
      </c>
      <c r="B24" s="17">
        <f>TIME(A24,A25,A26)</f>
        <v>0.60795138888888889</v>
      </c>
      <c r="C24" s="21">
        <f>TIME(A24,A25,A26)</f>
        <v>0.60795138888888889</v>
      </c>
      <c r="D24" s="5" t="s">
        <v>158</v>
      </c>
      <c r="E24" s="4" t="s">
        <v>159</v>
      </c>
      <c r="F24" s="3" t="s">
        <v>320</v>
      </c>
    </row>
    <row r="25" spans="1:6" x14ac:dyDescent="0.3">
      <c r="A25" s="21">
        <v>35</v>
      </c>
      <c r="C25" s="13"/>
      <c r="D25" s="5"/>
      <c r="E25" s="4"/>
    </row>
    <row r="26" spans="1:6" x14ac:dyDescent="0.3">
      <c r="A26" s="21">
        <v>27</v>
      </c>
      <c r="C26" s="13"/>
      <c r="D26" s="5"/>
      <c r="E26" s="4"/>
    </row>
    <row r="28" spans="1:6" x14ac:dyDescent="0.3">
      <c r="A28" s="20" t="s">
        <v>163</v>
      </c>
      <c r="B28" s="9" t="s">
        <v>160</v>
      </c>
      <c r="C28" s="10"/>
      <c r="D28" s="10"/>
      <c r="E28" s="8"/>
      <c r="F28" s="10"/>
    </row>
    <row r="29" spans="1:6" x14ac:dyDescent="0.3">
      <c r="A29" s="4" t="s">
        <v>162</v>
      </c>
      <c r="B29" s="17">
        <f>TIMEVALUE(A29)</f>
        <v>0.60795138888888889</v>
      </c>
      <c r="E29" s="4" t="s">
        <v>172</v>
      </c>
      <c r="F29" s="3" t="s">
        <v>161</v>
      </c>
    </row>
    <row r="31" spans="1:6" x14ac:dyDescent="0.3">
      <c r="A31" s="20" t="s">
        <v>164</v>
      </c>
      <c r="B31" s="9" t="s">
        <v>167</v>
      </c>
      <c r="C31" s="10"/>
      <c r="D31" s="10"/>
      <c r="E31" s="8"/>
      <c r="F31" s="10"/>
    </row>
    <row r="32" spans="1:6" x14ac:dyDescent="0.3">
      <c r="A32" s="27">
        <f ca="1">NOW()</f>
        <v>41386.499875000001</v>
      </c>
      <c r="B32" s="21">
        <f ca="1">NOW()</f>
        <v>41386.499875000001</v>
      </c>
      <c r="D32" s="736" t="s">
        <v>168</v>
      </c>
      <c r="E32" s="4" t="s">
        <v>173</v>
      </c>
      <c r="F32" s="3" t="s">
        <v>165</v>
      </c>
    </row>
    <row r="33" spans="1:6" x14ac:dyDescent="0.3">
      <c r="A33" s="3" t="s">
        <v>169</v>
      </c>
      <c r="B33" s="3" t="s">
        <v>170</v>
      </c>
      <c r="D33" s="736"/>
      <c r="F33" s="3" t="s">
        <v>166</v>
      </c>
    </row>
  </sheetData>
  <mergeCells count="1">
    <mergeCell ref="D32:D33"/>
  </mergeCells>
  <phoneticPr fontId="0" type="noConversion"/>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44"/>
  <sheetViews>
    <sheetView showGridLines="0" zoomScale="98" zoomScaleNormal="98" workbookViewId="0">
      <selection activeCell="M23" sqref="M23"/>
    </sheetView>
  </sheetViews>
  <sheetFormatPr defaultColWidth="9.109375" defaultRowHeight="14.4" x14ac:dyDescent="0.3"/>
  <cols>
    <col min="1" max="1" width="13.5546875" style="3" customWidth="1"/>
    <col min="2" max="2" width="38.109375" style="3" bestFit="1" customWidth="1"/>
    <col min="3" max="3" width="30.109375" style="3" bestFit="1" customWidth="1"/>
    <col min="4" max="4" width="13.6640625" style="3" bestFit="1" customWidth="1"/>
    <col min="5" max="5" width="4.109375" style="3" customWidth="1"/>
    <col min="6" max="6" width="12.33203125" style="3" bestFit="1" customWidth="1"/>
    <col min="7" max="7" width="7.33203125" style="3" customWidth="1"/>
    <col min="8" max="8" width="11.6640625" style="3" bestFit="1" customWidth="1"/>
    <col min="9" max="10" width="9.109375" style="3"/>
    <col min="11" max="11" width="11.33203125" style="3" customWidth="1"/>
    <col min="12" max="16384" width="9.109375" style="3"/>
  </cols>
  <sheetData>
    <row r="1" spans="1:11" ht="22.8" x14ac:dyDescent="0.4">
      <c r="A1" s="2" t="s">
        <v>174</v>
      </c>
      <c r="E1" s="633" t="s">
        <v>3016</v>
      </c>
    </row>
    <row r="3" spans="1:11" ht="18" thickBot="1" x14ac:dyDescent="0.35">
      <c r="A3" s="68" t="s">
        <v>317</v>
      </c>
      <c r="B3" s="23"/>
      <c r="C3" s="23"/>
      <c r="F3" s="55" t="s">
        <v>263</v>
      </c>
      <c r="G3" s="55" t="s">
        <v>264</v>
      </c>
      <c r="H3" s="55" t="s">
        <v>265</v>
      </c>
      <c r="I3" s="55" t="s">
        <v>266</v>
      </c>
      <c r="J3" s="55" t="s">
        <v>267</v>
      </c>
      <c r="K3" s="55" t="s">
        <v>268</v>
      </c>
    </row>
    <row r="4" spans="1:11" ht="15" thickBot="1" x14ac:dyDescent="0.35">
      <c r="A4" s="38" t="s">
        <v>70</v>
      </c>
      <c r="B4" s="38" t="s">
        <v>281</v>
      </c>
      <c r="C4" s="38" t="s">
        <v>282</v>
      </c>
      <c r="D4" s="38" t="s">
        <v>283</v>
      </c>
      <c r="F4" s="3">
        <v>11164539</v>
      </c>
      <c r="G4" s="57" t="s">
        <v>269</v>
      </c>
      <c r="H4" s="3" t="s">
        <v>270</v>
      </c>
      <c r="I4" s="58">
        <v>55.3</v>
      </c>
      <c r="J4" s="3">
        <v>15</v>
      </c>
      <c r="K4" s="58">
        <f t="shared" ref="K4:K43" si="0">J4*I4</f>
        <v>829.5</v>
      </c>
    </row>
    <row r="5" spans="1:11" x14ac:dyDescent="0.3">
      <c r="A5" s="41" t="s">
        <v>252</v>
      </c>
      <c r="B5" s="41" t="s">
        <v>280</v>
      </c>
      <c r="C5" s="42" t="s">
        <v>308</v>
      </c>
      <c r="D5" s="43">
        <f>AVERAGE(I4:I43)</f>
        <v>32.597750000000005</v>
      </c>
      <c r="F5" s="3">
        <v>11164540</v>
      </c>
      <c r="G5" s="57" t="s">
        <v>271</v>
      </c>
      <c r="H5" s="3" t="s">
        <v>272</v>
      </c>
      <c r="I5" s="58">
        <v>69.58</v>
      </c>
      <c r="J5" s="3">
        <v>7</v>
      </c>
      <c r="K5" s="58">
        <f t="shared" si="0"/>
        <v>487.06</v>
      </c>
    </row>
    <row r="6" spans="1:11" x14ac:dyDescent="0.3">
      <c r="A6" s="44" t="s">
        <v>279</v>
      </c>
      <c r="C6" s="23"/>
      <c r="F6" s="3">
        <v>11164541</v>
      </c>
      <c r="G6" s="57" t="s">
        <v>273</v>
      </c>
      <c r="H6" s="3" t="s">
        <v>274</v>
      </c>
      <c r="I6" s="58">
        <v>47.87</v>
      </c>
      <c r="J6" s="3">
        <v>1</v>
      </c>
      <c r="K6" s="58">
        <f t="shared" si="0"/>
        <v>47.87</v>
      </c>
    </row>
    <row r="7" spans="1:11" x14ac:dyDescent="0.3">
      <c r="A7" s="41" t="s">
        <v>253</v>
      </c>
      <c r="B7" s="41" t="s">
        <v>285</v>
      </c>
      <c r="C7" s="45" t="s">
        <v>309</v>
      </c>
      <c r="D7" s="46">
        <f>MAX(J4:J43)</f>
        <v>19</v>
      </c>
      <c r="F7" s="3">
        <v>11164542</v>
      </c>
      <c r="G7" s="57" t="s">
        <v>269</v>
      </c>
      <c r="H7" s="3" t="s">
        <v>270</v>
      </c>
      <c r="I7" s="58">
        <v>16.22</v>
      </c>
      <c r="J7" s="3">
        <v>5</v>
      </c>
      <c r="K7" s="58">
        <f t="shared" si="0"/>
        <v>81.099999999999994</v>
      </c>
    </row>
    <row r="8" spans="1:11" x14ac:dyDescent="0.3">
      <c r="A8" s="47" t="s">
        <v>284</v>
      </c>
      <c r="B8" s="23"/>
      <c r="C8" s="23"/>
      <c r="D8" s="48"/>
      <c r="F8" s="3">
        <v>11164544</v>
      </c>
      <c r="G8" s="57" t="s">
        <v>271</v>
      </c>
      <c r="H8" s="3" t="s">
        <v>272</v>
      </c>
      <c r="I8" s="58">
        <v>54.36</v>
      </c>
      <c r="K8" s="58">
        <f t="shared" si="0"/>
        <v>0</v>
      </c>
    </row>
    <row r="9" spans="1:11" x14ac:dyDescent="0.3">
      <c r="A9" s="41" t="s">
        <v>254</v>
      </c>
      <c r="B9" s="41" t="s">
        <v>287</v>
      </c>
      <c r="C9" s="45" t="s">
        <v>318</v>
      </c>
      <c r="D9" s="69">
        <f>MIN(I4:I43)</f>
        <v>0.84</v>
      </c>
      <c r="F9" s="3">
        <v>11164545</v>
      </c>
      <c r="G9" s="57" t="s">
        <v>275</v>
      </c>
      <c r="H9" s="3" t="s">
        <v>272</v>
      </c>
      <c r="I9" s="58">
        <v>74.45</v>
      </c>
      <c r="J9" s="3">
        <v>13</v>
      </c>
      <c r="K9" s="58">
        <f t="shared" si="0"/>
        <v>967.85</v>
      </c>
    </row>
    <row r="10" spans="1:11" x14ac:dyDescent="0.3">
      <c r="A10" s="44" t="s">
        <v>286</v>
      </c>
      <c r="C10" s="23"/>
      <c r="D10" s="48"/>
      <c r="F10" s="3">
        <v>11164546</v>
      </c>
      <c r="G10" s="57" t="s">
        <v>275</v>
      </c>
      <c r="H10" s="3" t="s">
        <v>270</v>
      </c>
      <c r="I10" s="58">
        <v>52.03</v>
      </c>
      <c r="J10" s="3">
        <v>11</v>
      </c>
      <c r="K10" s="58">
        <f t="shared" si="0"/>
        <v>572.33000000000004</v>
      </c>
    </row>
    <row r="11" spans="1:11" x14ac:dyDescent="0.3">
      <c r="A11" s="41" t="s">
        <v>255</v>
      </c>
      <c r="B11" s="10" t="s">
        <v>289</v>
      </c>
      <c r="C11" s="45" t="s">
        <v>310</v>
      </c>
      <c r="D11" s="46">
        <f>COUNT(J4:J43)</f>
        <v>38</v>
      </c>
      <c r="F11" s="3">
        <v>11164547</v>
      </c>
      <c r="G11" s="57" t="s">
        <v>275</v>
      </c>
      <c r="H11" s="3" t="s">
        <v>274</v>
      </c>
      <c r="I11" s="58">
        <v>25.74</v>
      </c>
      <c r="J11" s="3">
        <v>8</v>
      </c>
      <c r="K11" s="58">
        <f t="shared" si="0"/>
        <v>205.92</v>
      </c>
    </row>
    <row r="12" spans="1:11" x14ac:dyDescent="0.3">
      <c r="A12" s="47" t="s">
        <v>288</v>
      </c>
      <c r="C12" s="23"/>
      <c r="D12" s="48"/>
      <c r="F12" s="3">
        <v>11164548</v>
      </c>
      <c r="G12" s="57" t="s">
        <v>276</v>
      </c>
      <c r="H12" s="3" t="s">
        <v>272</v>
      </c>
      <c r="I12" s="58">
        <v>39.119999999999997</v>
      </c>
      <c r="J12" s="3">
        <v>14</v>
      </c>
      <c r="K12" s="58">
        <f t="shared" si="0"/>
        <v>547.67999999999995</v>
      </c>
    </row>
    <row r="13" spans="1:11" x14ac:dyDescent="0.3">
      <c r="A13" s="41" t="s">
        <v>256</v>
      </c>
      <c r="B13" s="10" t="s">
        <v>291</v>
      </c>
      <c r="C13" s="45" t="s">
        <v>311</v>
      </c>
      <c r="D13" s="46">
        <f>COUNTA(G4:G43)</f>
        <v>40</v>
      </c>
      <c r="F13" s="3">
        <v>11164549</v>
      </c>
      <c r="G13" s="57" t="s">
        <v>275</v>
      </c>
      <c r="H13" s="3" t="s">
        <v>274</v>
      </c>
      <c r="I13" s="58">
        <v>10.97</v>
      </c>
      <c r="J13" s="3">
        <v>3</v>
      </c>
      <c r="K13" s="58">
        <f t="shared" si="0"/>
        <v>32.910000000000004</v>
      </c>
    </row>
    <row r="14" spans="1:11" x14ac:dyDescent="0.3">
      <c r="A14" s="44" t="s">
        <v>290</v>
      </c>
      <c r="B14" s="23"/>
      <c r="C14" s="23"/>
      <c r="F14" s="3">
        <v>11164550</v>
      </c>
      <c r="G14" s="57" t="s">
        <v>276</v>
      </c>
      <c r="H14" s="3" t="s">
        <v>277</v>
      </c>
      <c r="I14" s="58">
        <v>18.559999999999999</v>
      </c>
      <c r="J14" s="3">
        <v>12</v>
      </c>
      <c r="K14" s="58">
        <f t="shared" si="0"/>
        <v>222.71999999999997</v>
      </c>
    </row>
    <row r="15" spans="1:11" x14ac:dyDescent="0.3">
      <c r="A15" s="41" t="s">
        <v>250</v>
      </c>
      <c r="B15" s="41" t="s">
        <v>296</v>
      </c>
      <c r="C15" s="70" t="s">
        <v>312</v>
      </c>
      <c r="D15" s="43">
        <f ca="1">SUMIF(H4:K43,"Dept 1",K4:K43)</f>
        <v>1092.3</v>
      </c>
      <c r="F15" s="3">
        <v>11164551</v>
      </c>
      <c r="G15" s="57" t="s">
        <v>269</v>
      </c>
      <c r="H15" s="3" t="s">
        <v>270</v>
      </c>
      <c r="I15" s="58">
        <v>45.8</v>
      </c>
      <c r="J15" s="3">
        <v>17</v>
      </c>
      <c r="K15" s="58">
        <f t="shared" si="0"/>
        <v>778.59999999999991</v>
      </c>
    </row>
    <row r="16" spans="1:11" x14ac:dyDescent="0.3">
      <c r="A16" s="47" t="s">
        <v>293</v>
      </c>
      <c r="B16" s="23"/>
      <c r="C16" s="23"/>
      <c r="F16" s="3">
        <v>11164556</v>
      </c>
      <c r="G16" s="57" t="s">
        <v>275</v>
      </c>
      <c r="H16" s="3" t="s">
        <v>274</v>
      </c>
      <c r="I16" s="58">
        <v>88.39</v>
      </c>
      <c r="J16" s="3">
        <v>2</v>
      </c>
      <c r="K16" s="58">
        <f t="shared" si="0"/>
        <v>176.78</v>
      </c>
    </row>
    <row r="17" spans="1:11" x14ac:dyDescent="0.3">
      <c r="A17" s="41" t="s">
        <v>249</v>
      </c>
      <c r="B17" s="41" t="s">
        <v>295</v>
      </c>
      <c r="C17" s="70" t="s">
        <v>313</v>
      </c>
      <c r="D17" s="71">
        <f>COUNTIF(G4:G43,"RT")</f>
        <v>10</v>
      </c>
      <c r="F17" s="3">
        <v>11164557</v>
      </c>
      <c r="G17" s="57" t="s">
        <v>273</v>
      </c>
      <c r="H17" s="3" t="s">
        <v>270</v>
      </c>
      <c r="I17" s="58">
        <v>79.08</v>
      </c>
      <c r="J17" s="3">
        <v>12</v>
      </c>
      <c r="K17" s="58">
        <f t="shared" si="0"/>
        <v>948.96</v>
      </c>
    </row>
    <row r="18" spans="1:11" x14ac:dyDescent="0.3">
      <c r="A18" s="47" t="s">
        <v>292</v>
      </c>
      <c r="B18" s="23"/>
      <c r="C18" s="23"/>
      <c r="F18" s="3">
        <v>11164558</v>
      </c>
      <c r="G18" s="57" t="s">
        <v>275</v>
      </c>
      <c r="H18" s="3" t="s">
        <v>277</v>
      </c>
      <c r="I18" s="58">
        <v>15.28</v>
      </c>
      <c r="J18" s="3">
        <v>7</v>
      </c>
      <c r="K18" s="58">
        <f t="shared" si="0"/>
        <v>106.96</v>
      </c>
    </row>
    <row r="19" spans="1:11" x14ac:dyDescent="0.3">
      <c r="A19" s="41" t="s">
        <v>251</v>
      </c>
      <c r="B19" s="49" t="s">
        <v>319</v>
      </c>
      <c r="C19" s="70" t="s">
        <v>314</v>
      </c>
      <c r="D19" s="72">
        <f ca="1">AVERAGEIF(G4:K43,"RT",I4:I43)</f>
        <v>33.126999999999995</v>
      </c>
      <c r="F19" s="3">
        <v>11164559</v>
      </c>
      <c r="G19" s="57" t="s">
        <v>271</v>
      </c>
      <c r="H19" s="3" t="s">
        <v>277</v>
      </c>
      <c r="I19" s="58">
        <v>2.77</v>
      </c>
      <c r="J19" s="3">
        <v>15</v>
      </c>
      <c r="K19" s="58">
        <f t="shared" si="0"/>
        <v>41.55</v>
      </c>
    </row>
    <row r="20" spans="1:11" x14ac:dyDescent="0.3">
      <c r="A20" s="44" t="s">
        <v>294</v>
      </c>
      <c r="B20" s="23"/>
      <c r="C20" s="23"/>
      <c r="F20" s="3">
        <v>11164560</v>
      </c>
      <c r="G20" s="57" t="s">
        <v>269</v>
      </c>
      <c r="H20" s="3" t="s">
        <v>272</v>
      </c>
      <c r="I20" s="58">
        <v>40.96</v>
      </c>
      <c r="K20" s="58">
        <f t="shared" si="0"/>
        <v>0</v>
      </c>
    </row>
    <row r="21" spans="1:11" x14ac:dyDescent="0.3">
      <c r="B21" s="23"/>
      <c r="C21" s="23"/>
      <c r="F21" s="3">
        <v>11164561</v>
      </c>
      <c r="G21" s="57" t="s">
        <v>269</v>
      </c>
      <c r="H21" s="3" t="s">
        <v>278</v>
      </c>
      <c r="I21" s="58">
        <v>25.07</v>
      </c>
      <c r="J21" s="3">
        <v>12</v>
      </c>
      <c r="K21" s="58">
        <f t="shared" si="0"/>
        <v>300.84000000000003</v>
      </c>
    </row>
    <row r="22" spans="1:11" ht="17.399999999999999" x14ac:dyDescent="0.3">
      <c r="A22" s="68" t="s">
        <v>257</v>
      </c>
      <c r="B22" s="23"/>
      <c r="C22" s="23"/>
      <c r="F22" s="3">
        <v>11164562</v>
      </c>
      <c r="G22" s="57" t="s">
        <v>275</v>
      </c>
      <c r="H22" s="3" t="s">
        <v>270</v>
      </c>
      <c r="I22" s="58">
        <v>0.84</v>
      </c>
      <c r="J22" s="3">
        <v>12</v>
      </c>
      <c r="K22" s="58">
        <f t="shared" si="0"/>
        <v>10.08</v>
      </c>
    </row>
    <row r="23" spans="1:11" x14ac:dyDescent="0.3">
      <c r="A23" s="3" t="s">
        <v>299</v>
      </c>
      <c r="C23" s="3" t="s">
        <v>356</v>
      </c>
      <c r="F23" s="3">
        <v>11164563</v>
      </c>
      <c r="G23" s="57" t="s">
        <v>275</v>
      </c>
      <c r="H23" s="3" t="s">
        <v>277</v>
      </c>
      <c r="I23" s="58">
        <v>9.42</v>
      </c>
      <c r="J23" s="3">
        <v>3</v>
      </c>
      <c r="K23" s="58">
        <f t="shared" si="0"/>
        <v>28.259999999999998</v>
      </c>
    </row>
    <row r="24" spans="1:11" ht="15" thickBot="1" x14ac:dyDescent="0.35">
      <c r="A24" s="38" t="s">
        <v>70</v>
      </c>
      <c r="B24" s="38" t="s">
        <v>281</v>
      </c>
      <c r="C24" s="38" t="s">
        <v>282</v>
      </c>
      <c r="D24" s="38" t="s">
        <v>283</v>
      </c>
      <c r="F24" s="3">
        <v>11164564</v>
      </c>
      <c r="G24" s="57" t="s">
        <v>271</v>
      </c>
      <c r="H24" s="3" t="s">
        <v>272</v>
      </c>
      <c r="I24" s="58">
        <v>16.02</v>
      </c>
      <c r="J24" s="3">
        <v>7</v>
      </c>
      <c r="K24" s="58">
        <f t="shared" si="0"/>
        <v>112.14</v>
      </c>
    </row>
    <row r="25" spans="1:11" x14ac:dyDescent="0.3">
      <c r="A25" s="41" t="s">
        <v>261</v>
      </c>
      <c r="B25" s="73" t="s">
        <v>304</v>
      </c>
      <c r="C25" s="70" t="s">
        <v>357</v>
      </c>
      <c r="D25" s="71">
        <f>FIND(",",A23)</f>
        <v>28</v>
      </c>
      <c r="F25" s="3">
        <v>11164565</v>
      </c>
      <c r="G25" s="57" t="s">
        <v>269</v>
      </c>
      <c r="H25" s="3" t="s">
        <v>270</v>
      </c>
      <c r="I25" s="58">
        <v>77.83</v>
      </c>
      <c r="J25" s="3">
        <v>4</v>
      </c>
      <c r="K25" s="58">
        <f t="shared" si="0"/>
        <v>311.32</v>
      </c>
    </row>
    <row r="26" spans="1:11" x14ac:dyDescent="0.3">
      <c r="A26" s="47" t="s">
        <v>297</v>
      </c>
      <c r="F26" s="3">
        <v>11164567</v>
      </c>
      <c r="G26" s="57" t="s">
        <v>273</v>
      </c>
      <c r="H26" s="3" t="s">
        <v>278</v>
      </c>
      <c r="I26" s="58">
        <v>1.54</v>
      </c>
      <c r="J26" s="3">
        <v>15</v>
      </c>
      <c r="K26" s="58">
        <f t="shared" si="0"/>
        <v>23.1</v>
      </c>
    </row>
    <row r="27" spans="1:11" x14ac:dyDescent="0.3">
      <c r="A27" s="41" t="s">
        <v>258</v>
      </c>
      <c r="B27" s="73" t="s">
        <v>303</v>
      </c>
      <c r="C27" s="74" t="s">
        <v>358</v>
      </c>
      <c r="D27" s="10" t="str">
        <f>LEFT(A23,9)</f>
        <v>President</v>
      </c>
      <c r="F27" s="3">
        <v>11164568</v>
      </c>
      <c r="G27" s="57" t="s">
        <v>271</v>
      </c>
      <c r="H27" s="3" t="s">
        <v>277</v>
      </c>
      <c r="I27" s="58">
        <v>9.81</v>
      </c>
      <c r="J27" s="3">
        <v>1</v>
      </c>
      <c r="K27" s="58">
        <f t="shared" si="0"/>
        <v>9.81</v>
      </c>
    </row>
    <row r="28" spans="1:11" x14ac:dyDescent="0.3">
      <c r="A28" s="47" t="s">
        <v>298</v>
      </c>
      <c r="F28" s="3">
        <v>11164569</v>
      </c>
      <c r="G28" s="57" t="s">
        <v>275</v>
      </c>
      <c r="H28" s="3" t="s">
        <v>278</v>
      </c>
      <c r="I28" s="58">
        <v>1.77</v>
      </c>
      <c r="J28" s="3">
        <v>8</v>
      </c>
      <c r="K28" s="58">
        <f t="shared" si="0"/>
        <v>14.16</v>
      </c>
    </row>
    <row r="29" spans="1:11" x14ac:dyDescent="0.3">
      <c r="A29" s="41" t="s">
        <v>262</v>
      </c>
      <c r="B29" s="10" t="s">
        <v>301</v>
      </c>
      <c r="C29" s="74" t="s">
        <v>359</v>
      </c>
      <c r="D29" s="71">
        <f>LEN(A23)</f>
        <v>53</v>
      </c>
      <c r="F29" s="3">
        <v>11164570</v>
      </c>
      <c r="G29" s="57" t="s">
        <v>276</v>
      </c>
      <c r="H29" s="3" t="s">
        <v>278</v>
      </c>
      <c r="I29" s="58">
        <v>7.99</v>
      </c>
      <c r="J29" s="3">
        <v>13</v>
      </c>
      <c r="K29" s="58">
        <f t="shared" si="0"/>
        <v>103.87</v>
      </c>
    </row>
    <row r="30" spans="1:11" x14ac:dyDescent="0.3">
      <c r="A30" s="47" t="s">
        <v>300</v>
      </c>
      <c r="F30" s="3">
        <v>11164571</v>
      </c>
      <c r="G30" s="57" t="s">
        <v>275</v>
      </c>
      <c r="H30" s="3" t="s">
        <v>272</v>
      </c>
      <c r="I30" s="58">
        <v>23.54</v>
      </c>
      <c r="J30" s="3">
        <v>10</v>
      </c>
      <c r="K30" s="58">
        <f t="shared" si="0"/>
        <v>235.39999999999998</v>
      </c>
    </row>
    <row r="31" spans="1:11" x14ac:dyDescent="0.3">
      <c r="A31" s="41" t="s">
        <v>259</v>
      </c>
      <c r="B31" s="10" t="s">
        <v>302</v>
      </c>
      <c r="C31" s="74" t="s">
        <v>360</v>
      </c>
      <c r="D31" s="10" t="str">
        <f>MID(A23,18,10)</f>
        <v>Washington</v>
      </c>
      <c r="F31" s="3">
        <v>11164572</v>
      </c>
      <c r="G31" s="57" t="s">
        <v>273</v>
      </c>
      <c r="H31" s="3" t="s">
        <v>274</v>
      </c>
      <c r="I31" s="58">
        <v>71.099999999999994</v>
      </c>
      <c r="J31" s="3">
        <v>4</v>
      </c>
      <c r="K31" s="58">
        <f t="shared" si="0"/>
        <v>284.39999999999998</v>
      </c>
    </row>
    <row r="32" spans="1:11" x14ac:dyDescent="0.3">
      <c r="A32" s="47" t="s">
        <v>305</v>
      </c>
      <c r="F32" s="3">
        <v>11164574</v>
      </c>
      <c r="G32" s="57" t="s">
        <v>269</v>
      </c>
      <c r="H32" s="3" t="s">
        <v>277</v>
      </c>
      <c r="I32" s="58">
        <v>64.64</v>
      </c>
      <c r="J32" s="3">
        <v>5</v>
      </c>
      <c r="K32" s="58">
        <f t="shared" si="0"/>
        <v>323.2</v>
      </c>
    </row>
    <row r="33" spans="1:11" x14ac:dyDescent="0.3">
      <c r="A33" s="41" t="s">
        <v>260</v>
      </c>
      <c r="B33" s="10" t="s">
        <v>307</v>
      </c>
      <c r="C33" s="74" t="s">
        <v>361</v>
      </c>
      <c r="D33" s="10" t="str">
        <f>RIGHT(A23,7)</f>
        <v>America</v>
      </c>
      <c r="F33" s="3">
        <v>11164575</v>
      </c>
      <c r="G33" s="57" t="s">
        <v>273</v>
      </c>
      <c r="H33" s="3" t="s">
        <v>272</v>
      </c>
      <c r="I33" s="58">
        <v>50.87</v>
      </c>
      <c r="J33" s="3">
        <v>19</v>
      </c>
      <c r="K33" s="58">
        <f t="shared" si="0"/>
        <v>966.53</v>
      </c>
    </row>
    <row r="34" spans="1:11" x14ac:dyDescent="0.3">
      <c r="A34" s="47" t="s">
        <v>306</v>
      </c>
      <c r="F34" s="3">
        <v>11164579</v>
      </c>
      <c r="G34" s="57" t="s">
        <v>271</v>
      </c>
      <c r="H34" s="3" t="s">
        <v>274</v>
      </c>
      <c r="I34" s="58">
        <v>27.6</v>
      </c>
      <c r="J34" s="3">
        <v>3</v>
      </c>
      <c r="K34" s="58">
        <f t="shared" si="0"/>
        <v>82.800000000000011</v>
      </c>
    </row>
    <row r="35" spans="1:11" x14ac:dyDescent="0.3">
      <c r="F35" s="3">
        <v>11164580</v>
      </c>
      <c r="G35" s="57" t="s">
        <v>275</v>
      </c>
      <c r="H35" s="3" t="s">
        <v>274</v>
      </c>
      <c r="I35" s="58">
        <v>46.85</v>
      </c>
      <c r="J35" s="3">
        <v>9</v>
      </c>
      <c r="K35" s="58">
        <f t="shared" si="0"/>
        <v>421.65000000000003</v>
      </c>
    </row>
    <row r="36" spans="1:11" x14ac:dyDescent="0.3">
      <c r="A36" s="75" t="s">
        <v>362</v>
      </c>
      <c r="F36" s="3">
        <v>11164581</v>
      </c>
      <c r="G36" s="57" t="s">
        <v>269</v>
      </c>
      <c r="H36" s="3" t="s">
        <v>274</v>
      </c>
      <c r="I36" s="58">
        <v>1.18</v>
      </c>
      <c r="J36" s="3">
        <v>16</v>
      </c>
      <c r="K36" s="58">
        <f t="shared" si="0"/>
        <v>18.88</v>
      </c>
    </row>
    <row r="37" spans="1:11" ht="15" thickBot="1" x14ac:dyDescent="0.35">
      <c r="A37" s="76" t="s">
        <v>363</v>
      </c>
      <c r="B37" s="76"/>
      <c r="C37" s="76" t="s">
        <v>364</v>
      </c>
      <c r="D37" s="76"/>
      <c r="F37" s="3">
        <v>11164582</v>
      </c>
      <c r="G37" s="57" t="s">
        <v>273</v>
      </c>
      <c r="H37" s="3" t="s">
        <v>277</v>
      </c>
      <c r="I37" s="58">
        <v>35</v>
      </c>
      <c r="J37" s="3">
        <v>10</v>
      </c>
      <c r="K37" s="58">
        <f t="shared" si="0"/>
        <v>350</v>
      </c>
    </row>
    <row r="38" spans="1:11" x14ac:dyDescent="0.3">
      <c r="A38" s="77" t="s">
        <v>299</v>
      </c>
      <c r="B38" s="77"/>
      <c r="C38" s="77" t="str">
        <f>RIGHT(A38,(LEN(A38)-FIND(",",A38)-1))</f>
        <v>United States of America</v>
      </c>
      <c r="D38" s="77"/>
      <c r="F38" s="3">
        <v>11164583</v>
      </c>
      <c r="G38" s="57" t="s">
        <v>275</v>
      </c>
      <c r="H38" s="3" t="s">
        <v>270</v>
      </c>
      <c r="I38" s="58">
        <v>12.13</v>
      </c>
      <c r="J38" s="3">
        <v>13</v>
      </c>
      <c r="K38" s="58">
        <f t="shared" si="0"/>
        <v>157.69</v>
      </c>
    </row>
    <row r="39" spans="1:11" x14ac:dyDescent="0.3">
      <c r="A39" s="78" t="s">
        <v>316</v>
      </c>
      <c r="B39" s="78"/>
      <c r="C39" s="78" t="str">
        <f>RIGHT(A39,(LEN(A39)-FIND(",",A39)-1))</f>
        <v>Starfleet Command</v>
      </c>
      <c r="D39" s="60"/>
      <c r="F39" s="3">
        <v>11164584</v>
      </c>
      <c r="G39" s="57" t="s">
        <v>276</v>
      </c>
      <c r="H39" s="3" t="s">
        <v>274</v>
      </c>
      <c r="I39" s="58">
        <v>51.16</v>
      </c>
      <c r="J39" s="3">
        <v>5</v>
      </c>
      <c r="K39" s="58">
        <f t="shared" si="0"/>
        <v>255.79999999999998</v>
      </c>
    </row>
    <row r="40" spans="1:11" ht="15" thickBot="1" x14ac:dyDescent="0.35">
      <c r="A40" s="79" t="s">
        <v>315</v>
      </c>
      <c r="B40" s="79"/>
      <c r="C40" s="79" t="str">
        <f>RIGHT(A40,(LEN(A40)-FIND(",",A40)-1))</f>
        <v>a poem as lovely as a tree.</v>
      </c>
      <c r="D40" s="79"/>
      <c r="F40" s="3">
        <v>11164585</v>
      </c>
      <c r="G40" s="57" t="s">
        <v>276</v>
      </c>
      <c r="H40" s="3" t="s">
        <v>278</v>
      </c>
      <c r="I40" s="58">
        <v>27.88</v>
      </c>
      <c r="J40" s="3">
        <v>2</v>
      </c>
      <c r="K40" s="58">
        <f t="shared" si="0"/>
        <v>55.76</v>
      </c>
    </row>
    <row r="41" spans="1:11" x14ac:dyDescent="0.3">
      <c r="A41" s="80" t="s">
        <v>365</v>
      </c>
      <c r="B41" s="80"/>
      <c r="C41" s="80"/>
      <c r="D41" s="80"/>
      <c r="F41" s="3">
        <v>11164586</v>
      </c>
      <c r="G41" s="57" t="s">
        <v>269</v>
      </c>
      <c r="H41" s="3" t="s">
        <v>278</v>
      </c>
      <c r="I41" s="58">
        <v>2.31</v>
      </c>
      <c r="J41" s="3">
        <v>16</v>
      </c>
      <c r="K41" s="58">
        <f t="shared" si="0"/>
        <v>36.96</v>
      </c>
    </row>
    <row r="42" spans="1:11" x14ac:dyDescent="0.3">
      <c r="A42" s="3" t="s">
        <v>366</v>
      </c>
      <c r="B42" s="81"/>
      <c r="C42" s="81"/>
      <c r="D42" s="81"/>
      <c r="F42" s="3">
        <v>11164587</v>
      </c>
      <c r="G42" s="57" t="s">
        <v>269</v>
      </c>
      <c r="H42" s="3" t="s">
        <v>277</v>
      </c>
      <c r="I42" s="58">
        <v>1.96</v>
      </c>
      <c r="J42" s="3">
        <v>5</v>
      </c>
      <c r="K42" s="58">
        <f t="shared" si="0"/>
        <v>9.8000000000000007</v>
      </c>
    </row>
    <row r="43" spans="1:11" x14ac:dyDescent="0.3">
      <c r="A43" s="3" t="s">
        <v>367</v>
      </c>
      <c r="B43" s="81"/>
      <c r="C43" s="81"/>
      <c r="D43" s="81"/>
      <c r="F43" s="3">
        <v>11164591</v>
      </c>
      <c r="G43" s="57" t="s">
        <v>271</v>
      </c>
      <c r="H43" s="3" t="s">
        <v>278</v>
      </c>
      <c r="I43" s="58">
        <v>0.92</v>
      </c>
      <c r="J43" s="3">
        <v>4</v>
      </c>
      <c r="K43" s="58">
        <f t="shared" si="0"/>
        <v>3.68</v>
      </c>
    </row>
    <row r="44" spans="1:11" x14ac:dyDescent="0.3">
      <c r="K44" s="82"/>
    </row>
  </sheetData>
  <phoneticPr fontId="0" type="noConversion"/>
  <printOptions horizontalCentered="1"/>
  <pageMargins left="0.5" right="0.5" top="0.75" bottom="0.75" header="0.3" footer="0.3"/>
  <pageSetup scale="79" orientation="landscape" r:id="rId1"/>
  <headerFooter>
    <oddFooter>&amp;LBoni Mays
Fayetteville Technical Community College&amp;C&amp;P&amp;Rwww.maysstuff.com</oddFooter>
  </headerFooter>
  <legacy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98" zoomScaleNormal="98" workbookViewId="0">
      <selection activeCell="E1" sqref="E1"/>
    </sheetView>
  </sheetViews>
  <sheetFormatPr defaultColWidth="9.109375" defaultRowHeight="14.4" x14ac:dyDescent="0.3"/>
  <cols>
    <col min="1" max="1" width="13.5546875" style="3" customWidth="1"/>
    <col min="2" max="6" width="11.6640625" style="3" customWidth="1"/>
    <col min="7" max="7" width="14.5546875" style="3" customWidth="1"/>
    <col min="8" max="8" width="49.88671875" style="3" customWidth="1"/>
    <col min="9" max="9" width="15" style="3" customWidth="1"/>
    <col min="10" max="10" width="9.109375" style="3"/>
    <col min="11" max="11" width="11.33203125" style="3" customWidth="1"/>
    <col min="12" max="16384" width="9.109375" style="3"/>
  </cols>
  <sheetData>
    <row r="1" spans="1:9" ht="22.8" x14ac:dyDescent="0.4">
      <c r="A1" s="2" t="s">
        <v>374</v>
      </c>
      <c r="E1" s="633"/>
    </row>
    <row r="2" spans="1:9" x14ac:dyDescent="0.3">
      <c r="A2" s="3" t="s">
        <v>391</v>
      </c>
    </row>
    <row r="3" spans="1:9" ht="15" thickBot="1" x14ac:dyDescent="0.35">
      <c r="A3" s="38" t="s">
        <v>70</v>
      </c>
      <c r="B3" s="38" t="s">
        <v>281</v>
      </c>
      <c r="C3" s="38"/>
      <c r="D3" s="38"/>
      <c r="E3" s="38"/>
      <c r="F3" s="38"/>
      <c r="G3" s="38"/>
      <c r="H3" s="38" t="s">
        <v>282</v>
      </c>
      <c r="I3" s="39" t="s">
        <v>283</v>
      </c>
    </row>
    <row r="4" spans="1:9" x14ac:dyDescent="0.3">
      <c r="A4" s="40" t="s">
        <v>368</v>
      </c>
      <c r="B4" s="40" t="s">
        <v>393</v>
      </c>
      <c r="C4" s="41"/>
      <c r="D4" s="41"/>
      <c r="E4" s="41"/>
      <c r="F4" s="41"/>
      <c r="G4" s="41"/>
      <c r="H4" s="42" t="s">
        <v>386</v>
      </c>
      <c r="I4" s="43">
        <f>SUMIFS(F16:F55,B16:B55,"RT",C16:C55,"Dept 2")</f>
        <v>2000.5199999999998</v>
      </c>
    </row>
    <row r="5" spans="1:9" x14ac:dyDescent="0.3">
      <c r="A5" s="44" t="s">
        <v>369</v>
      </c>
      <c r="H5" s="23"/>
    </row>
    <row r="6" spans="1:9" x14ac:dyDescent="0.3">
      <c r="A6" s="40" t="s">
        <v>370</v>
      </c>
      <c r="B6" s="40" t="s">
        <v>392</v>
      </c>
      <c r="C6" s="41"/>
      <c r="D6" s="41"/>
      <c r="E6" s="41"/>
      <c r="F6" s="41"/>
      <c r="G6" s="41"/>
      <c r="H6" s="45" t="s">
        <v>387</v>
      </c>
      <c r="I6" s="46">
        <f>COUNTIFS(B16:B55,"RT",C16:C55,"Dept 2")</f>
        <v>4</v>
      </c>
    </row>
    <row r="7" spans="1:9" x14ac:dyDescent="0.3">
      <c r="A7" s="47" t="s">
        <v>371</v>
      </c>
      <c r="B7" s="23"/>
      <c r="C7" s="23"/>
      <c r="D7" s="23"/>
      <c r="E7" s="23"/>
      <c r="F7" s="23"/>
      <c r="G7" s="23"/>
      <c r="H7" s="23"/>
      <c r="I7" s="48"/>
    </row>
    <row r="8" spans="1:9" x14ac:dyDescent="0.3">
      <c r="A8" s="41" t="s">
        <v>251</v>
      </c>
      <c r="B8" s="49" t="s">
        <v>319</v>
      </c>
      <c r="C8" s="49"/>
      <c r="D8" s="49"/>
      <c r="E8" s="49"/>
      <c r="F8" s="49"/>
      <c r="G8" s="49"/>
      <c r="H8" s="45" t="s">
        <v>388</v>
      </c>
      <c r="I8" s="50">
        <f ca="1">AVERAGEIF(B16:F55,"RT",D16:D55)</f>
        <v>43.53</v>
      </c>
    </row>
    <row r="9" spans="1:9" x14ac:dyDescent="0.3">
      <c r="A9" s="44" t="s">
        <v>294</v>
      </c>
      <c r="B9" s="23"/>
      <c r="C9" s="23"/>
      <c r="D9" s="23"/>
      <c r="E9" s="23"/>
      <c r="F9" s="23"/>
      <c r="G9" s="23"/>
      <c r="H9" s="23"/>
    </row>
    <row r="10" spans="1:9" x14ac:dyDescent="0.3">
      <c r="A10" s="40" t="s">
        <v>372</v>
      </c>
      <c r="B10" s="8" t="s">
        <v>394</v>
      </c>
      <c r="C10" s="10"/>
      <c r="D10" s="10"/>
      <c r="E10" s="10"/>
      <c r="F10" s="10"/>
      <c r="G10" s="10"/>
      <c r="H10" s="45" t="s">
        <v>389</v>
      </c>
      <c r="I10" s="51">
        <f>AVERAGEIFS(F16:F55,B16:B55,"RT",C16:C55,"Dept 2")</f>
        <v>500.12999999999994</v>
      </c>
    </row>
    <row r="11" spans="1:9" x14ac:dyDescent="0.3">
      <c r="A11" s="47" t="s">
        <v>373</v>
      </c>
      <c r="H11" s="23"/>
      <c r="I11" s="48"/>
    </row>
    <row r="12" spans="1:9" x14ac:dyDescent="0.3">
      <c r="A12" s="40" t="s">
        <v>375</v>
      </c>
      <c r="B12" s="8" t="s">
        <v>395</v>
      </c>
      <c r="C12" s="10"/>
      <c r="D12" s="10"/>
      <c r="E12" s="10"/>
      <c r="F12" s="10"/>
      <c r="G12" s="10"/>
      <c r="H12" s="45"/>
      <c r="I12" s="52" t="s">
        <v>390</v>
      </c>
    </row>
    <row r="13" spans="1:9" x14ac:dyDescent="0.3">
      <c r="A13" s="47" t="s">
        <v>376</v>
      </c>
      <c r="H13" s="23"/>
      <c r="I13" s="48"/>
    </row>
    <row r="15" spans="1:9" ht="15" thickBot="1" x14ac:dyDescent="0.35">
      <c r="A15" s="53" t="s">
        <v>263</v>
      </c>
      <c r="B15" s="54" t="s">
        <v>264</v>
      </c>
      <c r="C15" s="55" t="s">
        <v>265</v>
      </c>
      <c r="D15" s="53" t="s">
        <v>266</v>
      </c>
      <c r="E15" s="53" t="s">
        <v>267</v>
      </c>
      <c r="F15" s="53" t="s">
        <v>268</v>
      </c>
      <c r="H15" s="56" t="s">
        <v>382</v>
      </c>
      <c r="I15" s="56"/>
    </row>
    <row r="16" spans="1:9" x14ac:dyDescent="0.3">
      <c r="A16" s="3">
        <v>11164539</v>
      </c>
      <c r="B16" s="57" t="s">
        <v>269</v>
      </c>
      <c r="C16" s="3" t="s">
        <v>270</v>
      </c>
      <c r="D16" s="58">
        <v>55.3</v>
      </c>
      <c r="E16" s="3">
        <v>15</v>
      </c>
      <c r="F16" s="58">
        <f t="shared" ref="F16:F42" si="0">E16*D16</f>
        <v>829.5</v>
      </c>
      <c r="H16" s="59" t="s">
        <v>377</v>
      </c>
      <c r="I16" s="3">
        <v>11164539</v>
      </c>
    </row>
    <row r="17" spans="1:9" x14ac:dyDescent="0.3">
      <c r="A17" s="3">
        <v>11164540</v>
      </c>
      <c r="B17" s="57" t="s">
        <v>271</v>
      </c>
      <c r="C17" s="3" t="s">
        <v>272</v>
      </c>
      <c r="D17" s="58">
        <v>69.58</v>
      </c>
      <c r="E17" s="3">
        <v>7</v>
      </c>
      <c r="F17" s="58">
        <f t="shared" si="0"/>
        <v>487.06</v>
      </c>
    </row>
    <row r="18" spans="1:9" x14ac:dyDescent="0.3">
      <c r="A18" s="3">
        <v>11164541</v>
      </c>
      <c r="B18" s="57" t="s">
        <v>273</v>
      </c>
      <c r="C18" s="3" t="s">
        <v>274</v>
      </c>
      <c r="D18" s="58">
        <v>47.87</v>
      </c>
      <c r="E18" s="3">
        <v>1</v>
      </c>
      <c r="F18" s="58">
        <f t="shared" si="0"/>
        <v>47.87</v>
      </c>
      <c r="H18" s="59" t="s">
        <v>378</v>
      </c>
      <c r="I18" s="59" t="str">
        <f>VLOOKUP(I16,A15:F42,2)</f>
        <v>RT</v>
      </c>
    </row>
    <row r="19" spans="1:9" s="60" customFormat="1" x14ac:dyDescent="0.3">
      <c r="A19" s="60">
        <v>11164542</v>
      </c>
      <c r="B19" s="61" t="s">
        <v>269</v>
      </c>
      <c r="C19" s="60" t="s">
        <v>270</v>
      </c>
      <c r="D19" s="62">
        <v>16.22</v>
      </c>
      <c r="E19" s="60">
        <v>5</v>
      </c>
      <c r="F19" s="62">
        <f t="shared" si="0"/>
        <v>81.099999999999994</v>
      </c>
      <c r="H19" s="63" t="s">
        <v>379</v>
      </c>
      <c r="I19" s="63" t="str">
        <f>VLOOKUP(I16,A15:F42,3)</f>
        <v>Dept 2</v>
      </c>
    </row>
    <row r="20" spans="1:9" s="60" customFormat="1" x14ac:dyDescent="0.3">
      <c r="A20" s="60">
        <v>11164544</v>
      </c>
      <c r="B20" s="61" t="s">
        <v>271</v>
      </c>
      <c r="C20" s="60" t="s">
        <v>272</v>
      </c>
      <c r="D20" s="62">
        <v>54.36</v>
      </c>
      <c r="F20" s="62">
        <f t="shared" si="0"/>
        <v>0</v>
      </c>
      <c r="H20" s="63" t="s">
        <v>380</v>
      </c>
      <c r="I20" s="64">
        <f>VLOOKUP(I16,A15:F42,4)</f>
        <v>55.3</v>
      </c>
    </row>
    <row r="21" spans="1:9" s="60" customFormat="1" x14ac:dyDescent="0.3">
      <c r="A21" s="60">
        <v>11164545</v>
      </c>
      <c r="B21" s="61" t="s">
        <v>275</v>
      </c>
      <c r="C21" s="60" t="s">
        <v>272</v>
      </c>
      <c r="D21" s="62">
        <v>74.45</v>
      </c>
      <c r="E21" s="60">
        <v>13</v>
      </c>
      <c r="F21" s="62">
        <f t="shared" si="0"/>
        <v>967.85</v>
      </c>
      <c r="H21" s="63" t="s">
        <v>381</v>
      </c>
      <c r="I21" s="63">
        <f>VLOOKUP(I16,A15:F42,5)</f>
        <v>15</v>
      </c>
    </row>
    <row r="22" spans="1:9" s="60" customFormat="1" x14ac:dyDescent="0.3">
      <c r="A22" s="60">
        <v>11164546</v>
      </c>
      <c r="B22" s="61" t="s">
        <v>275</v>
      </c>
      <c r="C22" s="60" t="s">
        <v>270</v>
      </c>
      <c r="D22" s="62">
        <v>52.03</v>
      </c>
      <c r="E22" s="60">
        <v>11</v>
      </c>
      <c r="F22" s="62">
        <f t="shared" si="0"/>
        <v>572.33000000000004</v>
      </c>
    </row>
    <row r="23" spans="1:9" s="60" customFormat="1" ht="15" thickBot="1" x14ac:dyDescent="0.35">
      <c r="A23" s="60">
        <v>11164547</v>
      </c>
      <c r="B23" s="61" t="s">
        <v>275</v>
      </c>
      <c r="C23" s="60" t="s">
        <v>274</v>
      </c>
      <c r="D23" s="62">
        <v>25.74</v>
      </c>
      <c r="E23" s="60">
        <v>8</v>
      </c>
      <c r="F23" s="62">
        <f t="shared" si="0"/>
        <v>205.92</v>
      </c>
      <c r="H23" s="56" t="s">
        <v>383</v>
      </c>
      <c r="I23" s="56"/>
    </row>
    <row r="24" spans="1:9" s="60" customFormat="1" x14ac:dyDescent="0.3">
      <c r="A24" s="60">
        <v>11164548</v>
      </c>
      <c r="B24" s="61" t="s">
        <v>276</v>
      </c>
      <c r="C24" s="60" t="s">
        <v>272</v>
      </c>
      <c r="D24" s="62">
        <v>39.119999999999997</v>
      </c>
      <c r="E24" s="60">
        <v>14</v>
      </c>
      <c r="F24" s="62">
        <f t="shared" si="0"/>
        <v>547.67999999999995</v>
      </c>
      <c r="H24" s="63" t="s">
        <v>377</v>
      </c>
      <c r="I24" s="60">
        <v>11160000</v>
      </c>
    </row>
    <row r="25" spans="1:9" s="60" customFormat="1" x14ac:dyDescent="0.3">
      <c r="A25" s="60">
        <v>11164549</v>
      </c>
      <c r="B25" s="61" t="s">
        <v>275</v>
      </c>
      <c r="C25" s="60" t="s">
        <v>274</v>
      </c>
      <c r="D25" s="62">
        <v>10.97</v>
      </c>
      <c r="E25" s="60">
        <v>3</v>
      </c>
      <c r="F25" s="62">
        <f t="shared" si="0"/>
        <v>32.910000000000004</v>
      </c>
    </row>
    <row r="26" spans="1:9" s="60" customFormat="1" x14ac:dyDescent="0.3">
      <c r="A26" s="60">
        <v>11164550</v>
      </c>
      <c r="B26" s="61" t="s">
        <v>276</v>
      </c>
      <c r="C26" s="60" t="s">
        <v>277</v>
      </c>
      <c r="D26" s="62">
        <v>18.559999999999999</v>
      </c>
      <c r="E26" s="60">
        <v>12</v>
      </c>
      <c r="F26" s="62">
        <f t="shared" si="0"/>
        <v>222.71999999999997</v>
      </c>
      <c r="H26" s="63" t="s">
        <v>378</v>
      </c>
      <c r="I26" s="63" t="e">
        <f>VLOOKUP(I24,A15:F42,2,0)</f>
        <v>#N/A</v>
      </c>
    </row>
    <row r="27" spans="1:9" s="60" customFormat="1" x14ac:dyDescent="0.3">
      <c r="A27" s="60">
        <v>11164551</v>
      </c>
      <c r="B27" s="61" t="s">
        <v>269</v>
      </c>
      <c r="C27" s="60" t="s">
        <v>270</v>
      </c>
      <c r="D27" s="62">
        <v>45.8</v>
      </c>
      <c r="E27" s="60">
        <v>17</v>
      </c>
      <c r="F27" s="62">
        <f t="shared" si="0"/>
        <v>778.59999999999991</v>
      </c>
      <c r="H27" s="63" t="s">
        <v>379</v>
      </c>
      <c r="I27" s="63" t="e">
        <f>VLOOKUP(I24,A15:F42,3,0)</f>
        <v>#N/A</v>
      </c>
    </row>
    <row r="28" spans="1:9" s="60" customFormat="1" x14ac:dyDescent="0.3">
      <c r="A28" s="60">
        <v>11164556</v>
      </c>
      <c r="B28" s="61" t="s">
        <v>275</v>
      </c>
      <c r="C28" s="60" t="s">
        <v>274</v>
      </c>
      <c r="D28" s="62">
        <v>88.39</v>
      </c>
      <c r="E28" s="60">
        <v>2</v>
      </c>
      <c r="F28" s="62">
        <f t="shared" si="0"/>
        <v>176.78</v>
      </c>
      <c r="H28" s="63" t="s">
        <v>380</v>
      </c>
      <c r="I28" s="64" t="e">
        <f>VLOOKUP(I24,A15:F42,4,0)</f>
        <v>#N/A</v>
      </c>
    </row>
    <row r="29" spans="1:9" s="60" customFormat="1" x14ac:dyDescent="0.3">
      <c r="A29" s="60">
        <v>11164557</v>
      </c>
      <c r="B29" s="61" t="s">
        <v>273</v>
      </c>
      <c r="C29" s="60" t="s">
        <v>270</v>
      </c>
      <c r="D29" s="62">
        <v>79.08</v>
      </c>
      <c r="E29" s="60">
        <v>12</v>
      </c>
      <c r="F29" s="62">
        <f t="shared" si="0"/>
        <v>948.96</v>
      </c>
      <c r="H29" s="63" t="s">
        <v>381</v>
      </c>
      <c r="I29" s="63" t="e">
        <f>VLOOKUP(I24,A15:F42,5,0)</f>
        <v>#N/A</v>
      </c>
    </row>
    <row r="30" spans="1:9" s="60" customFormat="1" x14ac:dyDescent="0.3">
      <c r="A30" s="60">
        <v>11164558</v>
      </c>
      <c r="B30" s="61" t="s">
        <v>275</v>
      </c>
      <c r="C30" s="60" t="s">
        <v>277</v>
      </c>
      <c r="D30" s="62">
        <v>15.28</v>
      </c>
      <c r="E30" s="60">
        <v>7</v>
      </c>
      <c r="F30" s="62">
        <f t="shared" si="0"/>
        <v>106.96</v>
      </c>
    </row>
    <row r="31" spans="1:9" s="60" customFormat="1" x14ac:dyDescent="0.3">
      <c r="A31" s="60">
        <v>11164559</v>
      </c>
      <c r="B31" s="61" t="s">
        <v>271</v>
      </c>
      <c r="C31" s="60" t="s">
        <v>277</v>
      </c>
      <c r="D31" s="62">
        <v>2.77</v>
      </c>
      <c r="E31" s="60">
        <v>15</v>
      </c>
      <c r="F31" s="62">
        <f t="shared" si="0"/>
        <v>41.55</v>
      </c>
      <c r="H31" s="60" t="s">
        <v>405</v>
      </c>
    </row>
    <row r="32" spans="1:9" s="60" customFormat="1" x14ac:dyDescent="0.3">
      <c r="A32" s="60">
        <v>11164560</v>
      </c>
      <c r="B32" s="61" t="s">
        <v>269</v>
      </c>
      <c r="C32" s="60" t="s">
        <v>272</v>
      </c>
      <c r="D32" s="62">
        <v>40.96</v>
      </c>
      <c r="F32" s="62">
        <f t="shared" si="0"/>
        <v>0</v>
      </c>
      <c r="H32" s="60" t="s">
        <v>406</v>
      </c>
    </row>
    <row r="33" spans="1:9" s="60" customFormat="1" x14ac:dyDescent="0.3">
      <c r="A33" s="60">
        <v>11164561</v>
      </c>
      <c r="B33" s="61" t="s">
        <v>269</v>
      </c>
      <c r="C33" s="60" t="s">
        <v>278</v>
      </c>
      <c r="D33" s="62">
        <v>25.07</v>
      </c>
      <c r="E33" s="60">
        <v>12</v>
      </c>
      <c r="F33" s="62">
        <f t="shared" si="0"/>
        <v>300.84000000000003</v>
      </c>
    </row>
    <row r="34" spans="1:9" s="60" customFormat="1" ht="15" thickBot="1" x14ac:dyDescent="0.35">
      <c r="A34" s="60">
        <v>11164562</v>
      </c>
      <c r="B34" s="61" t="s">
        <v>275</v>
      </c>
      <c r="C34" s="60" t="s">
        <v>270</v>
      </c>
      <c r="D34" s="62">
        <v>0.84</v>
      </c>
      <c r="E34" s="60">
        <v>12</v>
      </c>
      <c r="F34" s="62">
        <f t="shared" si="0"/>
        <v>10.08</v>
      </c>
      <c r="H34" s="56" t="s">
        <v>407</v>
      </c>
      <c r="I34" s="56"/>
    </row>
    <row r="35" spans="1:9" s="60" customFormat="1" x14ac:dyDescent="0.3">
      <c r="A35" s="60">
        <v>11164563</v>
      </c>
      <c r="B35" s="61" t="s">
        <v>275</v>
      </c>
      <c r="C35" s="60" t="s">
        <v>277</v>
      </c>
      <c r="D35" s="62">
        <v>9.42</v>
      </c>
      <c r="E35" s="60">
        <v>3</v>
      </c>
      <c r="F35" s="62">
        <f t="shared" si="0"/>
        <v>28.259999999999998</v>
      </c>
      <c r="H35" s="65" t="s">
        <v>384</v>
      </c>
      <c r="I35" s="66"/>
    </row>
    <row r="36" spans="1:9" s="60" customFormat="1" x14ac:dyDescent="0.3">
      <c r="A36" s="60">
        <v>11164564</v>
      </c>
      <c r="B36" s="61" t="s">
        <v>271</v>
      </c>
      <c r="C36" s="60" t="s">
        <v>272</v>
      </c>
      <c r="D36" s="62">
        <v>16.02</v>
      </c>
      <c r="E36" s="60">
        <v>7</v>
      </c>
      <c r="F36" s="62">
        <f t="shared" si="0"/>
        <v>112.14</v>
      </c>
      <c r="H36" s="65" t="s">
        <v>385</v>
      </c>
      <c r="I36" s="66"/>
    </row>
    <row r="37" spans="1:9" s="60" customFormat="1" x14ac:dyDescent="0.3">
      <c r="A37" s="60">
        <v>11164565</v>
      </c>
      <c r="B37" s="61" t="s">
        <v>269</v>
      </c>
      <c r="C37" s="60" t="s">
        <v>270</v>
      </c>
      <c r="D37" s="62">
        <v>77.83</v>
      </c>
      <c r="E37" s="60">
        <v>4</v>
      </c>
      <c r="F37" s="62">
        <f t="shared" si="0"/>
        <v>311.32</v>
      </c>
      <c r="H37" s="63" t="s">
        <v>377</v>
      </c>
      <c r="I37" s="60">
        <v>11160000</v>
      </c>
    </row>
    <row r="38" spans="1:9" s="60" customFormat="1" x14ac:dyDescent="0.3">
      <c r="A38" s="60">
        <v>11164567</v>
      </c>
      <c r="B38" s="61" t="s">
        <v>273</v>
      </c>
      <c r="C38" s="60" t="s">
        <v>278</v>
      </c>
      <c r="D38" s="62">
        <v>1.54</v>
      </c>
      <c r="E38" s="60">
        <v>15</v>
      </c>
      <c r="F38" s="62">
        <f t="shared" si="0"/>
        <v>23.1</v>
      </c>
    </row>
    <row r="39" spans="1:9" x14ac:dyDescent="0.3">
      <c r="A39" s="3">
        <v>11164568</v>
      </c>
      <c r="B39" s="57" t="s">
        <v>271</v>
      </c>
      <c r="C39" s="3" t="s">
        <v>277</v>
      </c>
      <c r="D39" s="58">
        <v>9.81</v>
      </c>
      <c r="E39" s="3">
        <v>1</v>
      </c>
      <c r="F39" s="58">
        <f t="shared" si="0"/>
        <v>9.81</v>
      </c>
      <c r="H39" s="59" t="s">
        <v>378</v>
      </c>
      <c r="I39" s="59" t="str">
        <f>IFERROR(VLOOKUP(I37,A16:F42,2), "Invalid Part #")</f>
        <v>Invalid Part #</v>
      </c>
    </row>
    <row r="40" spans="1:9" x14ac:dyDescent="0.3">
      <c r="A40" s="3">
        <v>11164569</v>
      </c>
      <c r="B40" s="57" t="s">
        <v>275</v>
      </c>
      <c r="C40" s="3" t="s">
        <v>278</v>
      </c>
      <c r="D40" s="58">
        <v>1.77</v>
      </c>
      <c r="E40" s="3">
        <v>8</v>
      </c>
      <c r="F40" s="58">
        <f t="shared" si="0"/>
        <v>14.16</v>
      </c>
      <c r="H40" s="59" t="s">
        <v>379</v>
      </c>
      <c r="I40" s="59" t="str">
        <f>IF(I39= "Invalid Part #","",VLOOKUP(I37,A16:F42,3))</f>
        <v/>
      </c>
    </row>
    <row r="41" spans="1:9" x14ac:dyDescent="0.3">
      <c r="A41" s="3">
        <v>11164570</v>
      </c>
      <c r="B41" s="57" t="s">
        <v>276</v>
      </c>
      <c r="C41" s="3" t="s">
        <v>278</v>
      </c>
      <c r="D41" s="58">
        <v>7.99</v>
      </c>
      <c r="E41" s="3">
        <v>13</v>
      </c>
      <c r="F41" s="58">
        <f t="shared" si="0"/>
        <v>103.87</v>
      </c>
      <c r="H41" s="59" t="s">
        <v>380</v>
      </c>
      <c r="I41" s="67" t="str">
        <f>IF(I39= "Invalid Part #","",VLOOKUP(I37,A16:F42,4))</f>
        <v/>
      </c>
    </row>
    <row r="42" spans="1:9" x14ac:dyDescent="0.3">
      <c r="A42" s="3">
        <v>11164571</v>
      </c>
      <c r="B42" s="57" t="s">
        <v>275</v>
      </c>
      <c r="C42" s="3" t="s">
        <v>272</v>
      </c>
      <c r="D42" s="58">
        <v>23.54</v>
      </c>
      <c r="E42" s="3">
        <v>10</v>
      </c>
      <c r="F42" s="58">
        <f t="shared" si="0"/>
        <v>235.39999999999998</v>
      </c>
      <c r="H42" s="59" t="s">
        <v>381</v>
      </c>
      <c r="I42" s="59" t="str">
        <f>IF(I39= "Invalid Part #","",VLOOKUP(I37,A16:F42,5))</f>
        <v/>
      </c>
    </row>
  </sheetData>
  <phoneticPr fontId="0" type="noConversion"/>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workbookViewId="0">
      <selection activeCell="D18" sqref="D18"/>
    </sheetView>
  </sheetViews>
  <sheetFormatPr defaultColWidth="9.109375" defaultRowHeight="14.4" x14ac:dyDescent="0.3"/>
  <cols>
    <col min="1" max="1" width="9.109375" style="3"/>
    <col min="2" max="3" width="17.109375" style="3" customWidth="1"/>
    <col min="4" max="4" width="21.5546875" style="3" customWidth="1"/>
    <col min="5" max="5" width="17.33203125" style="3" customWidth="1"/>
    <col min="6" max="6" width="8.6640625" style="3" customWidth="1"/>
    <col min="7" max="7" width="10.5546875" style="3" customWidth="1"/>
    <col min="8" max="8" width="20.6640625" style="3" customWidth="1"/>
    <col min="9" max="16384" width="9.109375" style="3"/>
  </cols>
  <sheetData>
    <row r="1" spans="1:8" ht="22.8" x14ac:dyDescent="0.4">
      <c r="A1" s="2" t="s">
        <v>248</v>
      </c>
      <c r="E1" s="633" t="s">
        <v>3016</v>
      </c>
    </row>
    <row r="3" spans="1:8" ht="18" thickBot="1" x14ac:dyDescent="0.4">
      <c r="A3" s="6" t="s">
        <v>180</v>
      </c>
      <c r="B3" s="6"/>
      <c r="C3" s="6"/>
      <c r="D3" s="6"/>
      <c r="E3" s="6"/>
      <c r="F3" s="6"/>
      <c r="G3" s="6"/>
      <c r="H3" s="6"/>
    </row>
    <row r="4" spans="1:8" ht="15.6" thickTop="1" thickBot="1" x14ac:dyDescent="0.35">
      <c r="A4" s="34" t="s">
        <v>181</v>
      </c>
      <c r="B4" s="34" t="s">
        <v>205</v>
      </c>
      <c r="C4" s="34" t="s">
        <v>206</v>
      </c>
      <c r="D4" s="34" t="s">
        <v>182</v>
      </c>
      <c r="E4" s="34" t="s">
        <v>175</v>
      </c>
      <c r="F4" s="34" t="s">
        <v>176</v>
      </c>
      <c r="G4" s="34" t="s">
        <v>183</v>
      </c>
      <c r="H4" s="34" t="s">
        <v>184</v>
      </c>
    </row>
    <row r="5" spans="1:8" x14ac:dyDescent="0.3">
      <c r="A5" s="3">
        <v>3333</v>
      </c>
      <c r="B5" s="3" t="s">
        <v>196</v>
      </c>
      <c r="C5" s="3" t="s">
        <v>195</v>
      </c>
      <c r="D5" s="3" t="s">
        <v>216</v>
      </c>
      <c r="E5" s="3" t="s">
        <v>223</v>
      </c>
      <c r="F5" s="3" t="s">
        <v>225</v>
      </c>
      <c r="G5" s="3">
        <v>28307</v>
      </c>
      <c r="H5" s="4" t="s">
        <v>231</v>
      </c>
    </row>
    <row r="6" spans="1:8" x14ac:dyDescent="0.3">
      <c r="A6" s="10">
        <v>2222</v>
      </c>
      <c r="B6" s="10" t="s">
        <v>194</v>
      </c>
      <c r="C6" s="10" t="s">
        <v>193</v>
      </c>
      <c r="D6" s="10" t="s">
        <v>211</v>
      </c>
      <c r="E6" s="10" t="s">
        <v>222</v>
      </c>
      <c r="F6" s="10" t="s">
        <v>225</v>
      </c>
      <c r="G6" s="10">
        <v>28306</v>
      </c>
      <c r="H6" s="35" t="s">
        <v>230</v>
      </c>
    </row>
    <row r="7" spans="1:8" x14ac:dyDescent="0.3">
      <c r="A7" s="3">
        <v>7777</v>
      </c>
      <c r="B7" s="3" t="s">
        <v>192</v>
      </c>
      <c r="C7" s="3" t="s">
        <v>191</v>
      </c>
      <c r="D7" s="3" t="s">
        <v>210</v>
      </c>
      <c r="E7" s="3" t="s">
        <v>221</v>
      </c>
      <c r="F7" s="3" t="s">
        <v>225</v>
      </c>
      <c r="G7" s="3">
        <v>28305</v>
      </c>
      <c r="H7" s="4" t="s">
        <v>229</v>
      </c>
    </row>
    <row r="8" spans="1:8" x14ac:dyDescent="0.3">
      <c r="A8" s="10">
        <v>5555</v>
      </c>
      <c r="B8" s="10" t="s">
        <v>202</v>
      </c>
      <c r="C8" s="10" t="s">
        <v>201</v>
      </c>
      <c r="D8" s="10" t="s">
        <v>214</v>
      </c>
      <c r="E8" s="10" t="s">
        <v>224</v>
      </c>
      <c r="F8" s="10" t="s">
        <v>225</v>
      </c>
      <c r="G8" s="10">
        <v>28390</v>
      </c>
      <c r="H8" s="35" t="s">
        <v>234</v>
      </c>
    </row>
    <row r="9" spans="1:8" x14ac:dyDescent="0.3">
      <c r="A9" s="3">
        <v>6666</v>
      </c>
      <c r="B9" s="3" t="s">
        <v>204</v>
      </c>
      <c r="C9" s="3" t="s">
        <v>203</v>
      </c>
      <c r="D9" s="3" t="s">
        <v>215</v>
      </c>
      <c r="E9" s="3" t="s">
        <v>224</v>
      </c>
      <c r="F9" s="3" t="s">
        <v>225</v>
      </c>
      <c r="G9" s="3">
        <v>28390</v>
      </c>
      <c r="H9" s="4" t="s">
        <v>235</v>
      </c>
    </row>
    <row r="10" spans="1:8" x14ac:dyDescent="0.3">
      <c r="A10" s="10">
        <v>1234</v>
      </c>
      <c r="B10" s="10" t="s">
        <v>190</v>
      </c>
      <c r="C10" s="10" t="s">
        <v>189</v>
      </c>
      <c r="D10" s="10" t="s">
        <v>209</v>
      </c>
      <c r="E10" s="10" t="s">
        <v>220</v>
      </c>
      <c r="F10" s="10" t="s">
        <v>225</v>
      </c>
      <c r="G10" s="10">
        <v>28304</v>
      </c>
      <c r="H10" s="35" t="s">
        <v>228</v>
      </c>
    </row>
    <row r="11" spans="1:8" x14ac:dyDescent="0.3">
      <c r="A11" s="3">
        <v>1111</v>
      </c>
      <c r="B11" s="3" t="s">
        <v>198</v>
      </c>
      <c r="C11" s="3" t="s">
        <v>197</v>
      </c>
      <c r="D11" s="3" t="s">
        <v>212</v>
      </c>
      <c r="E11" s="3" t="s">
        <v>219</v>
      </c>
      <c r="F11" s="3" t="s">
        <v>225</v>
      </c>
      <c r="G11" s="3">
        <v>28301</v>
      </c>
      <c r="H11" s="4" t="s">
        <v>232</v>
      </c>
    </row>
    <row r="12" spans="1:8" x14ac:dyDescent="0.3">
      <c r="A12" s="10">
        <v>4444</v>
      </c>
      <c r="B12" s="10" t="s">
        <v>200</v>
      </c>
      <c r="C12" s="10" t="s">
        <v>199</v>
      </c>
      <c r="D12" s="10" t="s">
        <v>213</v>
      </c>
      <c r="E12" s="10" t="s">
        <v>224</v>
      </c>
      <c r="F12" s="10" t="s">
        <v>225</v>
      </c>
      <c r="G12" s="10">
        <v>28390</v>
      </c>
      <c r="H12" s="35" t="s">
        <v>233</v>
      </c>
    </row>
    <row r="13" spans="1:8" x14ac:dyDescent="0.3">
      <c r="A13" s="3">
        <v>9999</v>
      </c>
      <c r="B13" s="3" t="s">
        <v>186</v>
      </c>
      <c r="C13" s="3" t="s">
        <v>185</v>
      </c>
      <c r="D13" s="3" t="s">
        <v>207</v>
      </c>
      <c r="E13" s="3" t="s">
        <v>217</v>
      </c>
      <c r="F13" s="3" t="s">
        <v>225</v>
      </c>
      <c r="G13" s="3">
        <v>28309</v>
      </c>
      <c r="H13" s="4" t="s">
        <v>226</v>
      </c>
    </row>
    <row r="14" spans="1:8" x14ac:dyDescent="0.3">
      <c r="A14" s="10">
        <v>8888</v>
      </c>
      <c r="B14" s="10" t="s">
        <v>188</v>
      </c>
      <c r="C14" s="10" t="s">
        <v>187</v>
      </c>
      <c r="D14" s="10" t="s">
        <v>208</v>
      </c>
      <c r="E14" s="10" t="s">
        <v>218</v>
      </c>
      <c r="F14" s="10" t="s">
        <v>225</v>
      </c>
      <c r="G14" s="10">
        <v>28302</v>
      </c>
      <c r="H14" s="35" t="s">
        <v>227</v>
      </c>
    </row>
    <row r="16" spans="1:8" ht="18" thickBot="1" x14ac:dyDescent="0.4">
      <c r="A16" s="6" t="s">
        <v>236</v>
      </c>
      <c r="B16" s="6"/>
      <c r="C16" s="6"/>
    </row>
    <row r="17" spans="1:3" ht="15.6" thickTop="1" thickBot="1" x14ac:dyDescent="0.35">
      <c r="A17" s="34" t="s">
        <v>237</v>
      </c>
      <c r="B17" s="34" t="s">
        <v>177</v>
      </c>
      <c r="C17" s="34" t="s">
        <v>178</v>
      </c>
    </row>
    <row r="18" spans="1:3" x14ac:dyDescent="0.3">
      <c r="A18" s="3">
        <v>111</v>
      </c>
      <c r="B18" s="3" t="s">
        <v>238</v>
      </c>
      <c r="C18" s="36">
        <v>28</v>
      </c>
    </row>
    <row r="19" spans="1:3" x14ac:dyDescent="0.3">
      <c r="A19" s="10">
        <v>222</v>
      </c>
      <c r="B19" s="10" t="s">
        <v>239</v>
      </c>
      <c r="C19" s="37">
        <v>21</v>
      </c>
    </row>
    <row r="20" spans="1:3" x14ac:dyDescent="0.3">
      <c r="A20" s="3">
        <v>333</v>
      </c>
      <c r="B20" s="3" t="s">
        <v>240</v>
      </c>
      <c r="C20" s="36">
        <v>32</v>
      </c>
    </row>
    <row r="21" spans="1:3" x14ac:dyDescent="0.3">
      <c r="A21" s="10">
        <v>444</v>
      </c>
      <c r="B21" s="10" t="s">
        <v>241</v>
      </c>
      <c r="C21" s="37">
        <v>12</v>
      </c>
    </row>
    <row r="22" spans="1:3" x14ac:dyDescent="0.3">
      <c r="A22" s="3">
        <v>555</v>
      </c>
      <c r="B22" s="3" t="s">
        <v>242</v>
      </c>
      <c r="C22" s="36">
        <v>21</v>
      </c>
    </row>
    <row r="23" spans="1:3" x14ac:dyDescent="0.3">
      <c r="A23" s="10">
        <v>666</v>
      </c>
      <c r="B23" s="10" t="s">
        <v>243</v>
      </c>
      <c r="C23" s="37">
        <v>47</v>
      </c>
    </row>
    <row r="24" spans="1:3" x14ac:dyDescent="0.3">
      <c r="A24" s="3">
        <v>777</v>
      </c>
      <c r="B24" s="3" t="s">
        <v>244</v>
      </c>
      <c r="C24" s="36">
        <v>31</v>
      </c>
    </row>
    <row r="25" spans="1:3" x14ac:dyDescent="0.3">
      <c r="A25" s="10">
        <v>888</v>
      </c>
      <c r="B25" s="10" t="s">
        <v>245</v>
      </c>
      <c r="C25" s="37">
        <v>27</v>
      </c>
    </row>
    <row r="26" spans="1:3" x14ac:dyDescent="0.3">
      <c r="A26" s="3">
        <v>999</v>
      </c>
      <c r="B26" s="3" t="s">
        <v>246</v>
      </c>
      <c r="C26" s="36">
        <v>55</v>
      </c>
    </row>
    <row r="27" spans="1:3" x14ac:dyDescent="0.3">
      <c r="A27" s="10">
        <v>123</v>
      </c>
      <c r="B27" s="10" t="s">
        <v>247</v>
      </c>
      <c r="C27" s="37">
        <v>14</v>
      </c>
    </row>
  </sheetData>
  <phoneticPr fontId="0" type="noConversion"/>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5"/>
  <sheetViews>
    <sheetView showGridLines="0" zoomScale="96" zoomScaleNormal="96" workbookViewId="0">
      <selection activeCell="E21" sqref="E21"/>
    </sheetView>
  </sheetViews>
  <sheetFormatPr defaultColWidth="9.109375" defaultRowHeight="14.4" x14ac:dyDescent="0.3"/>
  <cols>
    <col min="1" max="1" width="37" style="3" customWidth="1"/>
    <col min="2" max="2" width="73.88671875" style="3" customWidth="1"/>
    <col min="3" max="16384" width="9.109375" style="3"/>
  </cols>
  <sheetData>
    <row r="1" spans="1:5" x14ac:dyDescent="0.3">
      <c r="A1" s="28" t="s">
        <v>70</v>
      </c>
      <c r="B1" s="28" t="s">
        <v>100</v>
      </c>
      <c r="E1" s="633" t="s">
        <v>3016</v>
      </c>
    </row>
    <row r="2" spans="1:5" x14ac:dyDescent="0.3">
      <c r="A2" s="29" t="s">
        <v>413</v>
      </c>
      <c r="B2" s="30" t="s">
        <v>414</v>
      </c>
    </row>
    <row r="3" spans="1:5" x14ac:dyDescent="0.3">
      <c r="A3" s="29" t="s">
        <v>415</v>
      </c>
      <c r="B3" s="30" t="s">
        <v>416</v>
      </c>
    </row>
    <row r="4" spans="1:5" x14ac:dyDescent="0.3">
      <c r="A4" s="29" t="s">
        <v>417</v>
      </c>
      <c r="B4" s="30" t="s">
        <v>418</v>
      </c>
    </row>
    <row r="5" spans="1:5" x14ac:dyDescent="0.3">
      <c r="A5" s="29" t="s">
        <v>419</v>
      </c>
      <c r="B5" s="30" t="s">
        <v>420</v>
      </c>
    </row>
    <row r="6" spans="1:5" x14ac:dyDescent="0.3">
      <c r="A6" s="29" t="s">
        <v>421</v>
      </c>
      <c r="B6" s="30" t="s">
        <v>422</v>
      </c>
    </row>
    <row r="7" spans="1:5" x14ac:dyDescent="0.3">
      <c r="A7" s="29" t="s">
        <v>423</v>
      </c>
      <c r="B7" s="30" t="s">
        <v>424</v>
      </c>
    </row>
    <row r="8" spans="1:5" x14ac:dyDescent="0.3">
      <c r="A8" s="29" t="s">
        <v>425</v>
      </c>
      <c r="B8" s="30" t="s">
        <v>426</v>
      </c>
    </row>
    <row r="9" spans="1:5" x14ac:dyDescent="0.3">
      <c r="A9" s="29" t="s">
        <v>427</v>
      </c>
      <c r="B9" s="30" t="s">
        <v>428</v>
      </c>
    </row>
    <row r="10" spans="1:5" x14ac:dyDescent="0.3">
      <c r="A10" s="31"/>
    </row>
    <row r="11" spans="1:5" ht="21" x14ac:dyDescent="0.4">
      <c r="A11" s="32" t="s">
        <v>429</v>
      </c>
    </row>
    <row r="12" spans="1:5" x14ac:dyDescent="0.3">
      <c r="A12" s="28" t="s">
        <v>70</v>
      </c>
      <c r="B12" s="28" t="s">
        <v>100</v>
      </c>
    </row>
    <row r="13" spans="1:5" x14ac:dyDescent="0.3">
      <c r="A13" s="29" t="s">
        <v>430</v>
      </c>
      <c r="B13" s="30" t="s">
        <v>431</v>
      </c>
    </row>
    <row r="14" spans="1:5" x14ac:dyDescent="0.3">
      <c r="A14" s="29" t="s">
        <v>432</v>
      </c>
      <c r="B14" s="30" t="s">
        <v>433</v>
      </c>
    </row>
    <row r="15" spans="1:5" x14ac:dyDescent="0.3">
      <c r="A15" s="29" t="s">
        <v>67</v>
      </c>
      <c r="B15" s="30" t="s">
        <v>434</v>
      </c>
    </row>
    <row r="16" spans="1:5" x14ac:dyDescent="0.3">
      <c r="A16" s="29" t="s">
        <v>435</v>
      </c>
      <c r="B16" s="30" t="s">
        <v>436</v>
      </c>
    </row>
    <row r="17" spans="1:2" ht="27.6" x14ac:dyDescent="0.3">
      <c r="A17" s="29" t="s">
        <v>49</v>
      </c>
      <c r="B17" s="30" t="s">
        <v>437</v>
      </c>
    </row>
    <row r="18" spans="1:2" ht="27.6" x14ac:dyDescent="0.3">
      <c r="A18" s="29" t="s">
        <v>51</v>
      </c>
      <c r="B18" s="30" t="s">
        <v>438</v>
      </c>
    </row>
    <row r="19" spans="1:2" x14ac:dyDescent="0.3">
      <c r="A19" s="29" t="s">
        <v>72</v>
      </c>
      <c r="B19" s="30" t="s">
        <v>439</v>
      </c>
    </row>
    <row r="20" spans="1:2" x14ac:dyDescent="0.3">
      <c r="A20" s="29" t="s">
        <v>164</v>
      </c>
      <c r="B20" s="30" t="s">
        <v>440</v>
      </c>
    </row>
    <row r="21" spans="1:2" x14ac:dyDescent="0.3">
      <c r="A21" s="29" t="s">
        <v>80</v>
      </c>
      <c r="B21" s="30" t="s">
        <v>441</v>
      </c>
    </row>
    <row r="22" spans="1:2" x14ac:dyDescent="0.3">
      <c r="A22" s="29" t="s">
        <v>442</v>
      </c>
      <c r="B22" s="30" t="s">
        <v>443</v>
      </c>
    </row>
    <row r="23" spans="1:2" ht="27.6" x14ac:dyDescent="0.3">
      <c r="A23" s="29" t="s">
        <v>444</v>
      </c>
      <c r="B23" s="30" t="s">
        <v>445</v>
      </c>
    </row>
    <row r="24" spans="1:2" x14ac:dyDescent="0.3">
      <c r="A24" s="29" t="s">
        <v>59</v>
      </c>
      <c r="B24" s="30" t="s">
        <v>446</v>
      </c>
    </row>
    <row r="25" spans="1:2" x14ac:dyDescent="0.3">
      <c r="A25" s="29" t="s">
        <v>76</v>
      </c>
      <c r="B25" s="30" t="s">
        <v>447</v>
      </c>
    </row>
    <row r="26" spans="1:2" ht="21" x14ac:dyDescent="0.4">
      <c r="A26" s="32"/>
    </row>
    <row r="27" spans="1:2" ht="21" x14ac:dyDescent="0.4">
      <c r="A27" s="32" t="s">
        <v>448</v>
      </c>
    </row>
    <row r="28" spans="1:2" x14ac:dyDescent="0.3">
      <c r="A28" s="28" t="s">
        <v>70</v>
      </c>
      <c r="B28" s="28" t="s">
        <v>100</v>
      </c>
    </row>
    <row r="29" spans="1:2" ht="27.6" x14ac:dyDescent="0.3">
      <c r="A29" s="29" t="s">
        <v>449</v>
      </c>
      <c r="B29" s="30" t="s">
        <v>450</v>
      </c>
    </row>
    <row r="30" spans="1:2" x14ac:dyDescent="0.3">
      <c r="A30" s="29" t="s">
        <v>451</v>
      </c>
      <c r="B30" s="30" t="s">
        <v>452</v>
      </c>
    </row>
    <row r="31" spans="1:2" x14ac:dyDescent="0.3">
      <c r="A31" s="29" t="s">
        <v>453</v>
      </c>
      <c r="B31" s="30" t="s">
        <v>454</v>
      </c>
    </row>
    <row r="32" spans="1:2" x14ac:dyDescent="0.3">
      <c r="A32" s="29" t="s">
        <v>20</v>
      </c>
      <c r="B32" s="30" t="s">
        <v>455</v>
      </c>
    </row>
    <row r="33" spans="1:2" x14ac:dyDescent="0.3">
      <c r="A33" s="29" t="s">
        <v>456</v>
      </c>
      <c r="B33" s="30" t="s">
        <v>457</v>
      </c>
    </row>
    <row r="34" spans="1:2" x14ac:dyDescent="0.3">
      <c r="A34" s="29" t="s">
        <v>458</v>
      </c>
      <c r="B34" s="30" t="s">
        <v>459</v>
      </c>
    </row>
    <row r="35" spans="1:2" x14ac:dyDescent="0.3">
      <c r="A35" s="29" t="s">
        <v>460</v>
      </c>
      <c r="B35" s="30" t="s">
        <v>461</v>
      </c>
    </row>
    <row r="36" spans="1:2" ht="21" x14ac:dyDescent="0.4">
      <c r="A36" s="32"/>
    </row>
    <row r="37" spans="1:2" ht="21" x14ac:dyDescent="0.4">
      <c r="A37" s="32" t="s">
        <v>462</v>
      </c>
    </row>
    <row r="38" spans="1:2" x14ac:dyDescent="0.3">
      <c r="A38" s="28" t="s">
        <v>70</v>
      </c>
      <c r="B38" s="28" t="s">
        <v>100</v>
      </c>
    </row>
    <row r="39" spans="1:2" x14ac:dyDescent="0.3">
      <c r="A39" s="29" t="s">
        <v>463</v>
      </c>
      <c r="B39" s="30" t="s">
        <v>464</v>
      </c>
    </row>
    <row r="40" spans="1:2" x14ac:dyDescent="0.3">
      <c r="A40" s="29" t="s">
        <v>465</v>
      </c>
      <c r="B40" s="30" t="s">
        <v>466</v>
      </c>
    </row>
    <row r="41" spans="1:2" x14ac:dyDescent="0.3">
      <c r="A41" s="29" t="s">
        <v>467</v>
      </c>
      <c r="B41" s="30" t="s">
        <v>468</v>
      </c>
    </row>
    <row r="42" spans="1:2" x14ac:dyDescent="0.3">
      <c r="A42" s="29" t="s">
        <v>469</v>
      </c>
      <c r="B42" s="30" t="s">
        <v>470</v>
      </c>
    </row>
    <row r="43" spans="1:2" x14ac:dyDescent="0.3">
      <c r="A43" s="29" t="s">
        <v>471</v>
      </c>
      <c r="B43" s="30" t="s">
        <v>472</v>
      </c>
    </row>
    <row r="44" spans="1:2" x14ac:dyDescent="0.3">
      <c r="A44" s="29" t="s">
        <v>473</v>
      </c>
      <c r="B44" s="30" t="s">
        <v>474</v>
      </c>
    </row>
    <row r="45" spans="1:2" x14ac:dyDescent="0.3">
      <c r="A45" s="29" t="s">
        <v>475</v>
      </c>
      <c r="B45" s="30" t="s">
        <v>476</v>
      </c>
    </row>
    <row r="46" spans="1:2" x14ac:dyDescent="0.3">
      <c r="A46" s="29" t="s">
        <v>477</v>
      </c>
      <c r="B46" s="30" t="s">
        <v>478</v>
      </c>
    </row>
    <row r="47" spans="1:2" x14ac:dyDescent="0.3">
      <c r="A47" s="29" t="s">
        <v>479</v>
      </c>
      <c r="B47" s="30" t="s">
        <v>480</v>
      </c>
    </row>
    <row r="48" spans="1:2" x14ac:dyDescent="0.3">
      <c r="A48" s="29" t="s">
        <v>481</v>
      </c>
      <c r="B48" s="30" t="s">
        <v>482</v>
      </c>
    </row>
    <row r="49" spans="1:2" ht="23.4" x14ac:dyDescent="0.45">
      <c r="A49" s="33"/>
    </row>
    <row r="50" spans="1:2" ht="23.4" x14ac:dyDescent="0.45">
      <c r="A50" s="33" t="s">
        <v>483</v>
      </c>
    </row>
    <row r="51" spans="1:2" x14ac:dyDescent="0.3">
      <c r="A51" s="28" t="s">
        <v>70</v>
      </c>
      <c r="B51" s="28" t="s">
        <v>100</v>
      </c>
    </row>
    <row r="52" spans="1:2" x14ac:dyDescent="0.3">
      <c r="A52" s="29" t="s">
        <v>484</v>
      </c>
      <c r="B52" s="30" t="s">
        <v>485</v>
      </c>
    </row>
    <row r="53" spans="1:2" x14ac:dyDescent="0.3">
      <c r="A53" s="29" t="b">
        <v>0</v>
      </c>
      <c r="B53" s="30" t="s">
        <v>486</v>
      </c>
    </row>
    <row r="54" spans="1:2" x14ac:dyDescent="0.3">
      <c r="A54" s="29" t="s">
        <v>11</v>
      </c>
      <c r="B54" s="30" t="s">
        <v>487</v>
      </c>
    </row>
    <row r="55" spans="1:2" x14ac:dyDescent="0.3">
      <c r="A55" s="29" t="s">
        <v>488</v>
      </c>
      <c r="B55" s="30" t="s">
        <v>489</v>
      </c>
    </row>
    <row r="56" spans="1:2" x14ac:dyDescent="0.3">
      <c r="A56" s="29" t="s">
        <v>490</v>
      </c>
      <c r="B56" s="30" t="s">
        <v>491</v>
      </c>
    </row>
    <row r="57" spans="1:2" x14ac:dyDescent="0.3">
      <c r="A57" s="29" t="b">
        <v>1</v>
      </c>
      <c r="B57" s="30" t="s">
        <v>492</v>
      </c>
    </row>
    <row r="58" spans="1:2" ht="21" x14ac:dyDescent="0.4">
      <c r="A58" s="32"/>
    </row>
    <row r="59" spans="1:2" ht="21" x14ac:dyDescent="0.4">
      <c r="A59" s="32" t="s">
        <v>493</v>
      </c>
    </row>
    <row r="60" spans="1:2" x14ac:dyDescent="0.3">
      <c r="A60" s="28" t="s">
        <v>70</v>
      </c>
      <c r="B60" s="28" t="s">
        <v>100</v>
      </c>
    </row>
    <row r="61" spans="1:2" x14ac:dyDescent="0.3">
      <c r="A61" s="29" t="s">
        <v>494</v>
      </c>
      <c r="B61" s="30" t="s">
        <v>495</v>
      </c>
    </row>
    <row r="62" spans="1:2" x14ac:dyDescent="0.3">
      <c r="A62" s="29" t="s">
        <v>496</v>
      </c>
      <c r="B62" s="30" t="s">
        <v>497</v>
      </c>
    </row>
    <row r="63" spans="1:2" x14ac:dyDescent="0.3">
      <c r="A63" s="29" t="s">
        <v>98</v>
      </c>
      <c r="B63" s="30" t="s">
        <v>498</v>
      </c>
    </row>
    <row r="64" spans="1:2" ht="27.6" x14ac:dyDescent="0.3">
      <c r="A64" s="29" t="s">
        <v>499</v>
      </c>
      <c r="B64" s="30" t="s">
        <v>500</v>
      </c>
    </row>
    <row r="65" spans="1:2" x14ac:dyDescent="0.3">
      <c r="A65" s="29" t="s">
        <v>501</v>
      </c>
      <c r="B65" s="30" t="s">
        <v>502</v>
      </c>
    </row>
    <row r="66" spans="1:2" x14ac:dyDescent="0.3">
      <c r="A66" s="29" t="s">
        <v>503</v>
      </c>
      <c r="B66" s="30" t="s">
        <v>504</v>
      </c>
    </row>
    <row r="67" spans="1:2" x14ac:dyDescent="0.3">
      <c r="A67" s="29" t="s">
        <v>505</v>
      </c>
      <c r="B67" s="30" t="s">
        <v>506</v>
      </c>
    </row>
    <row r="68" spans="1:2" x14ac:dyDescent="0.3">
      <c r="A68" s="29" t="s">
        <v>99</v>
      </c>
      <c r="B68" s="30" t="s">
        <v>507</v>
      </c>
    </row>
    <row r="69" spans="1:2" ht="21" x14ac:dyDescent="0.4">
      <c r="A69" s="32"/>
    </row>
    <row r="70" spans="1:2" ht="21" x14ac:dyDescent="0.4">
      <c r="A70" s="32" t="s">
        <v>508</v>
      </c>
    </row>
    <row r="71" spans="1:2" x14ac:dyDescent="0.3">
      <c r="A71" s="28" t="s">
        <v>70</v>
      </c>
      <c r="B71" s="28" t="s">
        <v>100</v>
      </c>
    </row>
    <row r="72" spans="1:2" x14ac:dyDescent="0.3">
      <c r="A72" s="29" t="s">
        <v>509</v>
      </c>
      <c r="B72" s="30" t="s">
        <v>510</v>
      </c>
    </row>
    <row r="73" spans="1:2" x14ac:dyDescent="0.3">
      <c r="A73" s="29" t="s">
        <v>511</v>
      </c>
      <c r="B73" s="30" t="s">
        <v>512</v>
      </c>
    </row>
    <row r="74" spans="1:2" x14ac:dyDescent="0.3">
      <c r="A74" s="29" t="s">
        <v>513</v>
      </c>
      <c r="B74" s="30" t="s">
        <v>514</v>
      </c>
    </row>
    <row r="75" spans="1:2" x14ac:dyDescent="0.3">
      <c r="A75" s="29" t="s">
        <v>515</v>
      </c>
      <c r="B75" s="30" t="s">
        <v>516</v>
      </c>
    </row>
    <row r="76" spans="1:2" x14ac:dyDescent="0.3">
      <c r="A76" s="29" t="s">
        <v>517</v>
      </c>
      <c r="B76" s="30" t="s">
        <v>518</v>
      </c>
    </row>
    <row r="77" spans="1:2" x14ac:dyDescent="0.3">
      <c r="A77" s="29" t="s">
        <v>519</v>
      </c>
      <c r="B77" s="30" t="s">
        <v>520</v>
      </c>
    </row>
    <row r="78" spans="1:2" x14ac:dyDescent="0.3">
      <c r="A78" s="29" t="s">
        <v>521</v>
      </c>
      <c r="B78" s="30" t="s">
        <v>522</v>
      </c>
    </row>
    <row r="79" spans="1:2" x14ac:dyDescent="0.3">
      <c r="A79" s="29" t="s">
        <v>523</v>
      </c>
      <c r="B79" s="30" t="s">
        <v>524</v>
      </c>
    </row>
    <row r="80" spans="1:2" x14ac:dyDescent="0.3">
      <c r="A80" s="29" t="s">
        <v>250</v>
      </c>
      <c r="B80" s="30" t="s">
        <v>525</v>
      </c>
    </row>
    <row r="81" spans="1:2" ht="21" x14ac:dyDescent="0.4">
      <c r="A81" s="32"/>
    </row>
    <row r="82" spans="1:2" ht="21" x14ac:dyDescent="0.4">
      <c r="A82" s="32" t="s">
        <v>317</v>
      </c>
    </row>
    <row r="83" spans="1:2" x14ac:dyDescent="0.3">
      <c r="A83" s="28" t="s">
        <v>70</v>
      </c>
      <c r="B83" s="28" t="s">
        <v>100</v>
      </c>
    </row>
    <row r="84" spans="1:2" x14ac:dyDescent="0.3">
      <c r="A84" s="29" t="s">
        <v>252</v>
      </c>
      <c r="B84" s="30" t="s">
        <v>526</v>
      </c>
    </row>
    <row r="85" spans="1:2" x14ac:dyDescent="0.3">
      <c r="A85" s="29" t="s">
        <v>255</v>
      </c>
      <c r="B85" s="30" t="s">
        <v>527</v>
      </c>
    </row>
    <row r="86" spans="1:2" x14ac:dyDescent="0.3">
      <c r="A86" s="29" t="s">
        <v>256</v>
      </c>
      <c r="B86" s="30" t="s">
        <v>528</v>
      </c>
    </row>
    <row r="87" spans="1:2" x14ac:dyDescent="0.3">
      <c r="A87" s="29" t="s">
        <v>529</v>
      </c>
      <c r="B87" s="30" t="s">
        <v>530</v>
      </c>
    </row>
    <row r="88" spans="1:2" x14ac:dyDescent="0.3">
      <c r="A88" s="29" t="s">
        <v>249</v>
      </c>
      <c r="B88" s="30" t="s">
        <v>531</v>
      </c>
    </row>
    <row r="89" spans="1:2" x14ac:dyDescent="0.3">
      <c r="A89" s="29" t="s">
        <v>253</v>
      </c>
      <c r="B89" s="30" t="s">
        <v>532</v>
      </c>
    </row>
    <row r="90" spans="1:2" x14ac:dyDescent="0.3">
      <c r="A90" s="29" t="s">
        <v>254</v>
      </c>
      <c r="B90" s="30" t="s">
        <v>533</v>
      </c>
    </row>
    <row r="91" spans="1:2" x14ac:dyDescent="0.3">
      <c r="A91" s="29" t="s">
        <v>534</v>
      </c>
      <c r="B91" s="30" t="s">
        <v>535</v>
      </c>
    </row>
    <row r="92" spans="1:2" x14ac:dyDescent="0.3">
      <c r="A92" s="31"/>
    </row>
    <row r="94" spans="1:2" ht="21" x14ac:dyDescent="0.4">
      <c r="A94" s="32"/>
    </row>
    <row r="95" spans="1:2" ht="21" x14ac:dyDescent="0.4">
      <c r="A95" s="32" t="s">
        <v>257</v>
      </c>
    </row>
    <row r="96" spans="1:2" x14ac:dyDescent="0.3">
      <c r="A96" s="28" t="s">
        <v>70</v>
      </c>
      <c r="B96" s="28" t="s">
        <v>100</v>
      </c>
    </row>
    <row r="97" spans="1:2" x14ac:dyDescent="0.3">
      <c r="A97" s="29" t="s">
        <v>536</v>
      </c>
      <c r="B97" s="30" t="s">
        <v>537</v>
      </c>
    </row>
    <row r="98" spans="1:2" x14ac:dyDescent="0.3">
      <c r="A98" s="29" t="s">
        <v>538</v>
      </c>
      <c r="B98" s="30" t="s">
        <v>539</v>
      </c>
    </row>
    <row r="99" spans="1:2" x14ac:dyDescent="0.3">
      <c r="A99" s="29" t="s">
        <v>540</v>
      </c>
      <c r="B99" s="30" t="s">
        <v>541</v>
      </c>
    </row>
    <row r="100" spans="1:2" x14ac:dyDescent="0.3">
      <c r="A100" s="29" t="s">
        <v>542</v>
      </c>
      <c r="B100" s="30" t="s">
        <v>543</v>
      </c>
    </row>
    <row r="101" spans="1:2" x14ac:dyDescent="0.3">
      <c r="A101" s="29" t="s">
        <v>544</v>
      </c>
      <c r="B101" s="30" t="s">
        <v>545</v>
      </c>
    </row>
    <row r="102" spans="1:2" x14ac:dyDescent="0.3">
      <c r="A102" s="29" t="s">
        <v>546</v>
      </c>
      <c r="B102" s="30" t="s">
        <v>547</v>
      </c>
    </row>
    <row r="103" spans="1:2" ht="27.6" x14ac:dyDescent="0.3">
      <c r="A103" s="29" t="s">
        <v>548</v>
      </c>
      <c r="B103" s="30" t="s">
        <v>549</v>
      </c>
    </row>
    <row r="104" spans="1:2" x14ac:dyDescent="0.3">
      <c r="A104" s="29" t="s">
        <v>550</v>
      </c>
      <c r="B104" s="30" t="s">
        <v>551</v>
      </c>
    </row>
    <row r="105" spans="1:2" x14ac:dyDescent="0.3">
      <c r="A105" s="29" t="s">
        <v>552</v>
      </c>
      <c r="B105" s="30" t="s">
        <v>553</v>
      </c>
    </row>
    <row r="106" spans="1:2" x14ac:dyDescent="0.3">
      <c r="A106" s="29" t="s">
        <v>554</v>
      </c>
      <c r="B106" s="30" t="s">
        <v>555</v>
      </c>
    </row>
    <row r="107" spans="1:2" x14ac:dyDescent="0.3">
      <c r="A107" s="29" t="s">
        <v>556</v>
      </c>
      <c r="B107" s="30" t="s">
        <v>557</v>
      </c>
    </row>
    <row r="108" spans="1:2" x14ac:dyDescent="0.3">
      <c r="A108" s="29" t="s">
        <v>558</v>
      </c>
      <c r="B108" s="30" t="s">
        <v>559</v>
      </c>
    </row>
    <row r="109" spans="1:2" x14ac:dyDescent="0.3">
      <c r="A109" s="29" t="s">
        <v>560</v>
      </c>
      <c r="B109" s="30" t="s">
        <v>561</v>
      </c>
    </row>
    <row r="110" spans="1:2" x14ac:dyDescent="0.3">
      <c r="A110" s="29" t="s">
        <v>562</v>
      </c>
      <c r="B110" s="30" t="s">
        <v>563</v>
      </c>
    </row>
    <row r="111" spans="1:2" x14ac:dyDescent="0.3">
      <c r="A111" s="29" t="s">
        <v>564</v>
      </c>
      <c r="B111" s="30" t="s">
        <v>565</v>
      </c>
    </row>
    <row r="112" spans="1:2" x14ac:dyDescent="0.3">
      <c r="A112" s="29" t="s">
        <v>566</v>
      </c>
      <c r="B112" s="30" t="s">
        <v>567</v>
      </c>
    </row>
    <row r="113" spans="1:2" x14ac:dyDescent="0.3">
      <c r="A113" s="29" t="s">
        <v>568</v>
      </c>
      <c r="B113" s="30" t="s">
        <v>569</v>
      </c>
    </row>
    <row r="114" spans="1:2" x14ac:dyDescent="0.3">
      <c r="A114" s="31"/>
    </row>
    <row r="115" spans="1:2" x14ac:dyDescent="0.3">
      <c r="A115" s="31"/>
    </row>
  </sheetData>
  <hyperlinks>
    <hyperlink ref="A2" r:id="rId1" display="javascript:go('/search/redir.aspx?AssetID=HP052090451033&amp;CTT=5&amp;Origin=HP052042111033')"/>
    <hyperlink ref="A3" r:id="rId2" display="javascript:go('/search/redir.aspx?AssetID=HP052090491033&amp;CTT=5&amp;Origin=HP052042111033')"/>
    <hyperlink ref="A4" r:id="rId3" display="javascript:go('/search/redir.aspx?AssetID=HP052090501033&amp;CTT=5&amp;Origin=HP052042111033')"/>
    <hyperlink ref="A5" r:id="rId4" display="javascript:go('/search/redir.aspx?AssetID=HP052090591033&amp;CTT=5&amp;Origin=HP052042111033')"/>
    <hyperlink ref="A6" r:id="rId5" display="javascript:go('/search/redir.aspx?AssetID=HP052090611033&amp;CTT=5&amp;Origin=HP052042111033')"/>
    <hyperlink ref="A7" r:id="rId6" display="javascript:go('/search/redir.aspx?AssetID=HP052090621033&amp;CTT=5&amp;Origin=HP052042111033')"/>
    <hyperlink ref="A8" r:id="rId7" display="javascript:go('/search/redir.aspx?AssetID=HP052090661033&amp;CTT=5&amp;Origin=HP052042111033')"/>
    <hyperlink ref="A9" r:id="rId8" display="javascript:go('/search/redir.aspx?AssetID=HP052090691033&amp;CTT=5&amp;Origin=HP052042111033')"/>
    <hyperlink ref="A13" r:id="rId9" display="javascript:go('/search/redir.aspx?AssetID=HP052090421033&amp;CTT=5&amp;Origin=HP052042111033')"/>
    <hyperlink ref="A14" r:id="rId10" display="javascript:go('/search/redir.aspx?AssetID=HP052090441033&amp;CTT=5&amp;Origin=HP052042111033')"/>
    <hyperlink ref="A15" r:id="rId11" display="javascript:go('/search/redir.aspx?AssetID=HP052090461033&amp;CTT=5&amp;Origin=HP052042111033')"/>
    <hyperlink ref="A16" r:id="rId12" display="javascript:go('/search/redir.aspx?AssetID=HP052090471033&amp;CTT=5&amp;Origin=HP052042111033')"/>
    <hyperlink ref="A17" r:id="rId13" display="javascript:go('/search/redir.aspx?AssetID=HP052090731033&amp;CTT=5&amp;Origin=HP052042111033')"/>
    <hyperlink ref="A18" r:id="rId14" display="javascript:go('/search/redir.aspx?AssetID=HP052090761033&amp;CTT=5&amp;Origin=HP052042111033')"/>
    <hyperlink ref="A19" r:id="rId15" display="javascript:go('/search/redir.aspx?AssetID=HP052091841033&amp;CTT=5&amp;Origin=HP052042111033')"/>
    <hyperlink ref="A20" r:id="rId16" display="javascript:go('/search/redir.aspx?AssetID=HP052091971033&amp;CTT=5&amp;Origin=HP052042111033')"/>
    <hyperlink ref="A21" r:id="rId17" display="javascript:go('/search/redir.aspx?AssetID=HP052093181033&amp;CTT=5&amp;Origin=HP052042111033')"/>
    <hyperlink ref="A22" r:id="rId18" display="javascript:go('/search/redir.aspx?AssetID=HP052093361033&amp;CTT=5&amp;Origin=HP052042111033')"/>
    <hyperlink ref="A23" r:id="rId19" display="javascript:go('/search/redir.aspx?AssetID=HP052093371033&amp;CTT=5&amp;Origin=HP052042111033')"/>
    <hyperlink ref="A24" r:id="rId20" display="javascript:go('/search/redir.aspx?AssetID=HP052093391033&amp;CTT=5&amp;Origin=HP052042111033')"/>
    <hyperlink ref="A25" r:id="rId21" display="javascript:go('/search/redir.aspx?AssetID=HP052093431033&amp;CTT=5&amp;Origin=HP052042111033')"/>
    <hyperlink ref="A29" r:id="rId22" display="javascript:go('/search/redir.aspx?AssetID=HP052090511033&amp;CTT=5&amp;Origin=HP052042111033')"/>
    <hyperlink ref="A30" r:id="rId23" display="javascript:go('/search/redir.aspx?AssetID=HP052090601033&amp;CTT=5&amp;Origin=HP052042111033')"/>
    <hyperlink ref="A31" r:id="rId24" display="javascript:go('/search/redir.aspx?AssetID=HP052090991033&amp;CTT=5&amp;Origin=HP052042111033')"/>
    <hyperlink ref="A32" r:id="rId25" display="javascript:go('/search/redir.aspx?AssetID=HP052092151033&amp;CTT=5&amp;Origin=HP052042111033')"/>
    <hyperlink ref="A33" r:id="rId26" display="javascript:go('/search/redir.aspx?AssetID=HP052092251033&amp;CTT=5&amp;Origin=HP052042111033')"/>
    <hyperlink ref="A34" r:id="rId27" display="javascript:go('/search/redir.aspx?AssetID=HP052092631033&amp;CTT=5&amp;Origin=HP052042111033')"/>
    <hyperlink ref="A35" r:id="rId28" display="javascript:go('/search/redir.aspx?AssetID=HP052093021033&amp;CTT=5&amp;Origin=HP052042111033')"/>
    <hyperlink ref="A39" r:id="rId29" display="javascript:go('/search/redir.aspx?AssetID=HP052090081033&amp;CTT=5&amp;Origin=HP052042111033')"/>
    <hyperlink ref="A40" r:id="rId30" display="javascript:go('/search/redir.aspx?AssetID=HP052090791033&amp;CTT=5&amp;Origin=HP052042111033')"/>
    <hyperlink ref="A41" r:id="rId31" display="javascript:go('/search/redir.aspx?AssetID=HP052091401033&amp;CTT=5&amp;Origin=HP052042111033')"/>
    <hyperlink ref="A42" r:id="rId32" display="javascript:go('/search/redir.aspx?AssetID=HP052091471033&amp;CTT=5&amp;Origin=HP052042111033')"/>
    <hyperlink ref="A43" r:id="rId33" display="javascript:go('/search/redir.aspx?AssetID=HP052091471033&amp;CTT=5&amp;Origin=HP052042111033')"/>
    <hyperlink ref="A44" r:id="rId34" display="javascript:go('/search/redir.aspx?AssetID=HP052091471033&amp;CTT=5&amp;Origin=HP052042111033')"/>
    <hyperlink ref="A45" r:id="rId35" display="javascript:go('/search/redir.aspx?AssetID=HP052091471033&amp;CTT=5&amp;Origin=HP052042111033')"/>
    <hyperlink ref="A46" r:id="rId36" display="javascript:go('/search/redir.aspx?AssetID=HP052091471033&amp;CTT=5&amp;Origin=HP052042111033')"/>
    <hyperlink ref="A47" r:id="rId37" display="javascript:go('/search/redir.aspx?AssetID=HP052091471033&amp;CTT=5&amp;Origin=HP052042111033')"/>
    <hyperlink ref="A48" r:id="rId38" display="javascript:go('/search/redir.aspx?AssetID=HP052091471033&amp;CTT=5&amp;Origin=HP052042111033')"/>
    <hyperlink ref="A52" r:id="rId39" display="javascript:go('/search/redir.aspx?AssetID=HP052089861033&amp;CTT=5&amp;Origin=HP052042111033')"/>
    <hyperlink ref="A53" r:id="rId40" display="javascript:go('/search/redir.aspx?AssetID=HP052090861033&amp;CTT=5&amp;Origin=HP052042111033')"/>
    <hyperlink ref="A54" r:id="rId41" display="javascript:go('/search/redir.aspx?AssetID=HP052091181033&amp;CTT=5&amp;Origin=HP052042111033')"/>
    <hyperlink ref="A55" r:id="rId42" display="javascript:go('/search/redir.aspx?AssetID=HP052091961033&amp;CTT=5&amp;Origin=HP052042111033')"/>
    <hyperlink ref="A56" r:id="rId43" display="javascript:go('/search/redir.aspx?AssetID=HP052092091033&amp;CTT=5&amp;Origin=HP052042111033')"/>
    <hyperlink ref="A57" r:id="rId44" display="javascript:go('/search/redir.aspx?AssetID=HP052093231033&amp;CTT=5&amp;Origin=HP052042111033')"/>
    <hyperlink ref="A61" r:id="rId45" display="javascript:go('/search/redir.aspx?AssetID=HP052090131033&amp;CTT=5&amp;Origin=HP052042111033')"/>
    <hyperlink ref="A62" r:id="rId46" display="javascript:go('/search/redir.aspx?AssetID=HP052091071033&amp;CTT=5&amp;Origin=HP052042111033')"/>
    <hyperlink ref="A63" r:id="rId47" display="javascript:go('/search/redir.aspx?AssetID=HP052091141033&amp;CTT=5&amp;Origin=HP052042111033')"/>
    <hyperlink ref="A64" r:id="rId48" display="javascript:go('/search/redir.aspx?AssetID=HP052091161033&amp;CTT=5&amp;Origin=HP052042111033')"/>
    <hyperlink ref="A65" r:id="rId49" display="javascript:go('/search/redir.aspx?AssetID=HP052091381033&amp;CTT=5&amp;Origin=HP052042111033')"/>
    <hyperlink ref="A66" r:id="rId50" display="javascript:go('/search/redir.aspx?AssetID=HP052091631033&amp;CTT=5&amp;Origin=HP052042111033')"/>
    <hyperlink ref="A67" r:id="rId51" display="javascript:go('/search/redir.aspx?AssetID=HP052093191033&amp;CTT=5&amp;Origin=HP052042111033')"/>
    <hyperlink ref="A68" r:id="rId52" display="javascript:go('/search/redir.aspx?AssetID=HP052093351033&amp;CTT=5&amp;Origin=HP052042111033')"/>
    <hyperlink ref="A72" r:id="rId53" display="javascript:go('/search/redir.aspx?AssetID=HP052092291033&amp;CTT=5&amp;Origin=HP052042111033')"/>
    <hyperlink ref="A73" r:id="rId54" display="javascript:go('/search/redir.aspx?AssetID=HP052092301033&amp;CTT=5&amp;Origin=HP052042111033')"/>
    <hyperlink ref="A74" r:id="rId55" display="javascript:go('/search/redir.aspx?AssetID=HP052092391033&amp;CTT=5&amp;Origin=HP052042111033')"/>
    <hyperlink ref="A75" r:id="rId56" display="javascript:go('/search/redir.aspx?AssetID=HP052092411033&amp;CTT=5&amp;Origin=HP052042111033')"/>
    <hyperlink ref="A76" r:id="rId57" display="javascript:go('/search/redir.aspx?AssetID=HP052092421033&amp;CTT=5&amp;Origin=HP052042111033')"/>
    <hyperlink ref="A77" r:id="rId58" display="javascript:go('/search/redir.aspx?AssetID=HP052092551033&amp;CTT=5&amp;Origin=HP052042111033')"/>
    <hyperlink ref="A78" r:id="rId59" display="javascript:go('/search/redir.aspx?AssetID=HP052092881033&amp;CTT=5&amp;Origin=HP052042111033')"/>
    <hyperlink ref="A79" r:id="rId60" display="javascript:go('/search/redir.aspx?AssetID=HP052092901033&amp;CTT=5&amp;Origin=HP052042111033')"/>
    <hyperlink ref="A80" r:id="rId61" display="javascript:go('/search/redir.aspx?AssetID=HP052092921033&amp;CTT=5&amp;Origin=HP052042111033')"/>
    <hyperlink ref="A84" r:id="rId62" display="javascript:go('/search/redir.aspx?AssetID=HP052089941033&amp;CTT=5&amp;Origin=HP052042111033')"/>
    <hyperlink ref="A85" r:id="rId63" display="javascript:go('/search/redir.aspx?AssetID=HP052090261033&amp;CTT=5&amp;Origin=HP052042111033')"/>
    <hyperlink ref="A86" r:id="rId64" display="javascript:go('/search/redir.aspx?AssetID=HP052090271033&amp;CTT=5&amp;Origin=HP052042111033')"/>
    <hyperlink ref="A87" r:id="rId65" display="javascript:go('/search/redir.aspx?AssetID=HP052090281033&amp;CTT=5&amp;Origin=HP052042111033')"/>
    <hyperlink ref="A88" r:id="rId66" display="javascript:go('/search/redir.aspx?AssetID=HP052090291033&amp;CTT=5&amp;Origin=HP052042111033')"/>
    <hyperlink ref="A89" r:id="rId67" display="javascript:go('/search/redir.aspx?AssetID=HP052091701033&amp;CTT=5&amp;Origin=HP052042111033')"/>
    <hyperlink ref="A90" r:id="rId68" display="javascript:go('/search/redir.aspx?AssetID=HP052091761033&amp;CTT=5&amp;Origin=HP052042111033')"/>
    <hyperlink ref="A91" r:id="rId69" display="javascript:go('/search/redir.aspx?AssetID=HP052092311033&amp;CTT=5&amp;Origin=HP052042111033')"/>
    <hyperlink ref="A97" r:id="rId70" display="javascript:go('/search/redir.aspx?AssetID=HP052090141033&amp;CTT=5&amp;Origin=HP052042111033')"/>
    <hyperlink ref="A98" r:id="rId71" display="javascript:go('/search/redir.aspx?AssetID=HP052090201033&amp;CTT=5&amp;Origin=HP052042111033')"/>
    <hyperlink ref="A99" r:id="rId72" display="javascript:go('/search/redir.aspx?AssetID=HP052090891033&amp;CTT=5&amp;Origin=HP052042111033')"/>
    <hyperlink ref="A100" r:id="rId73" display="javascript:go('/search/redir.aspx?AssetID=HP052091531033&amp;CTT=5&amp;Origin=HP052042111033')"/>
    <hyperlink ref="A101" r:id="rId74" display="javascript:go('/search/redir.aspx?AssetID=HP052091541033&amp;CTT=5&amp;Origin=HP052042111033')"/>
    <hyperlink ref="A102" r:id="rId75" display="javascript:go('/search/redir.aspx?AssetID=HP052091671033&amp;CTT=5&amp;Origin=HP052042111033')"/>
    <hyperlink ref="A103" r:id="rId76" display="javascript:go('/search/redir.aspx?AssetID=HP052091751033&amp;CTT=5&amp;Origin=HP052042111033')"/>
    <hyperlink ref="A104" r:id="rId77" display="javascript:go('/search/redir.aspx?AssetID=HP052092241033&amp;CTT=5&amp;Origin=HP052042111033')"/>
    <hyperlink ref="A105" r:id="rId78" display="javascript:go('/search/redir.aspx?AssetID=HP052092351033&amp;CTT=5&amp;Origin=HP052042111033')"/>
    <hyperlink ref="A106" r:id="rId79" display="javascript:go('/search/redir.aspx?AssetID=HP052092361033&amp;CTT=5&amp;Origin=HP052042111033')"/>
    <hyperlink ref="A107" r:id="rId80" display="javascript:go('/search/redir.aspx?AssetID=HP052092371033&amp;CTT=5&amp;Origin=HP052042111033')"/>
    <hyperlink ref="A108" r:id="rId81" display="javascript:go('/search/redir.aspx?AssetID=HP052092491033&amp;CTT=5&amp;Origin=HP052042111033')"/>
    <hyperlink ref="A109" r:id="rId82" display="javascript:go('/search/redir.aspx?AssetID=HP052092861033&amp;CTT=5&amp;Origin=HP052042111033')"/>
    <hyperlink ref="A110" r:id="rId83" display="javascript:go('/search/redir.aspx?AssetID=HP052093131033&amp;CTT=5&amp;Origin=HP052042111033')"/>
    <hyperlink ref="A111" r:id="rId84" display="javascript:go('/search/redir.aspx?AssetID=HP052093211033&amp;CTT=5&amp;Origin=HP052042111033')"/>
    <hyperlink ref="A112" r:id="rId85" display="javascript:go('/search/redir.aspx?AssetID=HP052093271033&amp;CTT=5&amp;Origin=HP052042111033')"/>
    <hyperlink ref="A113" r:id="rId86" display="javascript:go('/search/redir.aspx?AssetID=HP052093291033&amp;CTT=5&amp;Origin=HP052042111033')"/>
  </hyperlinks>
  <pageMargins left="0.7" right="0.7" top="0.75" bottom="0.75" header="0.3" footer="0.3"/>
  <pageSetup orientation="portrait" r:id="rId8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selection activeCell="G10" sqref="G10"/>
    </sheetView>
  </sheetViews>
  <sheetFormatPr defaultColWidth="9.109375" defaultRowHeight="14.4" x14ac:dyDescent="0.3"/>
  <cols>
    <col min="1" max="2" width="9.109375" style="3"/>
    <col min="3" max="3" width="19" style="3" bestFit="1" customWidth="1"/>
    <col min="4" max="4" width="5.77734375" style="3" bestFit="1" customWidth="1"/>
    <col min="5" max="13" width="9.44140625" style="3" customWidth="1"/>
    <col min="14" max="16384" width="9.109375" style="3"/>
  </cols>
  <sheetData>
    <row r="1" spans="1:7" ht="21" x14ac:dyDescent="0.4">
      <c r="A1" s="32" t="s">
        <v>521</v>
      </c>
      <c r="G1" s="633" t="s">
        <v>3016</v>
      </c>
    </row>
    <row r="2" spans="1:7" x14ac:dyDescent="0.3">
      <c r="D2" s="502" t="s">
        <v>706</v>
      </c>
    </row>
    <row r="3" spans="1:7" x14ac:dyDescent="0.3">
      <c r="C3" s="503" t="s">
        <v>703</v>
      </c>
      <c r="D3" s="3">
        <v>3</v>
      </c>
    </row>
    <row r="4" spans="1:7" x14ac:dyDescent="0.3">
      <c r="C4" s="503" t="s">
        <v>704</v>
      </c>
      <c r="D4" s="3">
        <v>3</v>
      </c>
    </row>
    <row r="5" spans="1:7" x14ac:dyDescent="0.3">
      <c r="C5" s="503" t="s">
        <v>705</v>
      </c>
      <c r="D5" s="3">
        <v>3</v>
      </c>
    </row>
    <row r="6" spans="1:7" x14ac:dyDescent="0.3">
      <c r="C6" s="3" t="s">
        <v>699</v>
      </c>
      <c r="D6" s="504">
        <f>SUBTOTAL(9,D3:D5)</f>
        <v>9</v>
      </c>
    </row>
    <row r="8" spans="1:7" x14ac:dyDescent="0.3">
      <c r="C8" s="503" t="s">
        <v>703</v>
      </c>
      <c r="D8" s="3">
        <v>5</v>
      </c>
    </row>
    <row r="9" spans="1:7" x14ac:dyDescent="0.3">
      <c r="C9" s="503" t="s">
        <v>704</v>
      </c>
      <c r="D9" s="3">
        <v>5</v>
      </c>
    </row>
    <row r="10" spans="1:7" x14ac:dyDescent="0.3">
      <c r="C10" s="503" t="s">
        <v>705</v>
      </c>
      <c r="D10" s="3">
        <v>5</v>
      </c>
    </row>
    <row r="11" spans="1:7" x14ac:dyDescent="0.3">
      <c r="C11" s="3" t="s">
        <v>699</v>
      </c>
      <c r="D11" s="504">
        <f>SUBTOTAL(9,D8:D10)</f>
        <v>15</v>
      </c>
    </row>
    <row r="13" spans="1:7" x14ac:dyDescent="0.3">
      <c r="C13" s="503" t="s">
        <v>703</v>
      </c>
      <c r="D13" s="3">
        <v>7</v>
      </c>
    </row>
    <row r="14" spans="1:7" x14ac:dyDescent="0.3">
      <c r="C14" s="503" t="s">
        <v>704</v>
      </c>
      <c r="D14" s="3">
        <v>7</v>
      </c>
    </row>
    <row r="15" spans="1:7" x14ac:dyDescent="0.3">
      <c r="C15" s="503" t="s">
        <v>705</v>
      </c>
      <c r="D15" s="3">
        <v>7</v>
      </c>
    </row>
    <row r="16" spans="1:7" x14ac:dyDescent="0.3">
      <c r="C16" s="3" t="s">
        <v>699</v>
      </c>
      <c r="D16" s="504">
        <f>SUBTOTAL(9,D13:D15)</f>
        <v>21</v>
      </c>
    </row>
    <row r="18" spans="3:4" x14ac:dyDescent="0.3">
      <c r="C18" s="505" t="s">
        <v>700</v>
      </c>
      <c r="D18" s="506">
        <f>SUBTOTAL(9,D3:D16)</f>
        <v>45</v>
      </c>
    </row>
    <row r="20" spans="3:4" x14ac:dyDescent="0.3">
      <c r="C20" s="503" t="s">
        <v>703</v>
      </c>
      <c r="D20" s="3">
        <v>3</v>
      </c>
    </row>
    <row r="21" spans="3:4" x14ac:dyDescent="0.3">
      <c r="C21" s="503" t="s">
        <v>704</v>
      </c>
      <c r="D21" s="3">
        <v>3</v>
      </c>
    </row>
    <row r="22" spans="3:4" x14ac:dyDescent="0.3">
      <c r="C22" s="503" t="s">
        <v>705</v>
      </c>
      <c r="D22" s="3">
        <v>3</v>
      </c>
    </row>
    <row r="23" spans="3:4" x14ac:dyDescent="0.3">
      <c r="C23" s="3" t="s">
        <v>699</v>
      </c>
      <c r="D23" s="504">
        <f>SUBTOTAL(9,D20:D22)</f>
        <v>9</v>
      </c>
    </row>
    <row r="25" spans="3:4" x14ac:dyDescent="0.3">
      <c r="C25" s="503" t="s">
        <v>703</v>
      </c>
      <c r="D25" s="3">
        <v>5</v>
      </c>
    </row>
    <row r="26" spans="3:4" x14ac:dyDescent="0.3">
      <c r="C26" s="503" t="s">
        <v>704</v>
      </c>
      <c r="D26" s="3">
        <v>5</v>
      </c>
    </row>
    <row r="27" spans="3:4" x14ac:dyDescent="0.3">
      <c r="C27" s="503" t="s">
        <v>705</v>
      </c>
      <c r="D27" s="3">
        <v>5</v>
      </c>
    </row>
    <row r="28" spans="3:4" x14ac:dyDescent="0.3">
      <c r="C28" s="3" t="s">
        <v>699</v>
      </c>
      <c r="D28" s="504">
        <f>SUBTOTAL(9,D25:D27)</f>
        <v>15</v>
      </c>
    </row>
    <row r="30" spans="3:4" x14ac:dyDescent="0.3">
      <c r="C30" s="503" t="s">
        <v>703</v>
      </c>
      <c r="D30" s="3">
        <v>7</v>
      </c>
    </row>
    <row r="31" spans="3:4" x14ac:dyDescent="0.3">
      <c r="C31" s="503" t="s">
        <v>704</v>
      </c>
      <c r="D31" s="3">
        <v>7</v>
      </c>
    </row>
    <row r="32" spans="3:4" x14ac:dyDescent="0.3">
      <c r="C32" s="503" t="s">
        <v>705</v>
      </c>
      <c r="D32" s="3">
        <v>7</v>
      </c>
    </row>
    <row r="33" spans="3:4" x14ac:dyDescent="0.3">
      <c r="C33" s="3" t="s">
        <v>699</v>
      </c>
      <c r="D33" s="504">
        <f>SUBTOTAL(9,D30:D32)</f>
        <v>21</v>
      </c>
    </row>
    <row r="35" spans="3:4" x14ac:dyDescent="0.3">
      <c r="C35" s="505" t="s">
        <v>700</v>
      </c>
      <c r="D35" s="506">
        <f>SUBTOTAL(9,D20:D33)</f>
        <v>45</v>
      </c>
    </row>
    <row r="37" spans="3:4" ht="15" thickBot="1" x14ac:dyDescent="0.35">
      <c r="C37" s="507" t="s">
        <v>702</v>
      </c>
      <c r="D37" s="508">
        <f>SUBTOTAL(9,F1:F36)</f>
        <v>0</v>
      </c>
    </row>
    <row r="38" spans="3:4" ht="15" thickTop="1" x14ac:dyDescent="0.3"/>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showGridLines="0" topLeftCell="A53" workbookViewId="0">
      <selection activeCell="J60" sqref="J60"/>
    </sheetView>
  </sheetViews>
  <sheetFormatPr defaultColWidth="9.109375" defaultRowHeight="15.6" x14ac:dyDescent="0.3"/>
  <cols>
    <col min="1" max="1" width="3.33203125" style="210" customWidth="1"/>
    <col min="2" max="5" width="2.109375" style="317" customWidth="1"/>
    <col min="6" max="6" width="34.44140625" style="323" customWidth="1"/>
    <col min="7" max="7" width="20.6640625" style="323" customWidth="1"/>
    <col min="8" max="8" width="16.44140625" style="464" customWidth="1"/>
    <col min="9" max="9" width="21.88671875" style="324" hidden="1" customWidth="1"/>
    <col min="10" max="16384" width="9.109375" style="210"/>
  </cols>
  <sheetData>
    <row r="1" spans="1:9" ht="25.8" x14ac:dyDescent="0.5">
      <c r="A1" s="286" t="s">
        <v>521</v>
      </c>
      <c r="H1" s="639" t="s">
        <v>3016</v>
      </c>
    </row>
    <row r="2" spans="1:9" ht="31.2" hidden="1" x14ac:dyDescent="0.6">
      <c r="A2" s="465"/>
      <c r="D2" s="323" t="s">
        <v>640</v>
      </c>
      <c r="E2" s="323"/>
    </row>
    <row r="3" spans="1:9" ht="19.5" hidden="1" customHeight="1" x14ac:dyDescent="0.6">
      <c r="A3" s="465"/>
      <c r="D3" s="323"/>
      <c r="E3" s="323" t="s">
        <v>641</v>
      </c>
      <c r="G3" s="466">
        <v>0.08</v>
      </c>
    </row>
    <row r="4" spans="1:9" hidden="1" x14ac:dyDescent="0.3">
      <c r="D4" s="323"/>
      <c r="E4" s="467" t="s">
        <v>642</v>
      </c>
      <c r="G4" s="468">
        <v>4.4999999999999998E-2</v>
      </c>
    </row>
    <row r="5" spans="1:9" x14ac:dyDescent="0.3">
      <c r="B5" s="469"/>
      <c r="C5" s="469"/>
      <c r="D5" s="469"/>
      <c r="E5" s="469"/>
      <c r="F5" s="469"/>
      <c r="G5" s="470"/>
      <c r="I5" s="471"/>
    </row>
    <row r="6" spans="1:9" ht="16.2" thickBot="1" x14ac:dyDescent="0.35">
      <c r="B6" s="472"/>
      <c r="C6" s="472"/>
      <c r="D6" s="472"/>
      <c r="E6" s="472"/>
      <c r="F6" s="472"/>
      <c r="G6" s="473">
        <v>2014</v>
      </c>
      <c r="I6" s="474" t="s">
        <v>643</v>
      </c>
    </row>
    <row r="7" spans="1:9" x14ac:dyDescent="0.3">
      <c r="A7" s="475"/>
      <c r="B7" s="476" t="s">
        <v>644</v>
      </c>
      <c r="C7" s="476"/>
      <c r="D7" s="476"/>
      <c r="E7" s="476"/>
      <c r="F7" s="476"/>
      <c r="G7" s="477"/>
      <c r="I7" s="478"/>
    </row>
    <row r="8" spans="1:9" x14ac:dyDescent="0.3">
      <c r="A8" s="475"/>
      <c r="B8" s="479"/>
      <c r="C8" s="479"/>
      <c r="D8" s="479" t="s">
        <v>645</v>
      </c>
      <c r="E8" s="479"/>
      <c r="F8" s="479"/>
      <c r="G8" s="477"/>
      <c r="H8" s="480"/>
      <c r="I8" s="478"/>
    </row>
    <row r="9" spans="1:9" x14ac:dyDescent="0.3">
      <c r="A9" s="475"/>
      <c r="B9" s="481"/>
      <c r="C9" s="481"/>
      <c r="D9" s="481"/>
      <c r="E9" s="481"/>
      <c r="F9" s="481" t="s">
        <v>646</v>
      </c>
      <c r="G9" s="482">
        <v>1662130.8</v>
      </c>
      <c r="H9" s="480">
        <f>G3</f>
        <v>0.08</v>
      </c>
      <c r="I9" s="483">
        <f>G9*(1+H9)</f>
        <v>1795101.2640000002</v>
      </c>
    </row>
    <row r="10" spans="1:9" x14ac:dyDescent="0.3">
      <c r="A10" s="475"/>
      <c r="B10" s="481"/>
      <c r="C10" s="481"/>
      <c r="D10" s="481"/>
      <c r="E10" s="481"/>
      <c r="F10" s="481" t="s">
        <v>647</v>
      </c>
      <c r="G10" s="477">
        <v>-2557.1999999999998</v>
      </c>
      <c r="H10" s="480">
        <f>H9</f>
        <v>0.08</v>
      </c>
      <c r="I10" s="478">
        <f>G10*(1+H10)</f>
        <v>-2761.7759999999998</v>
      </c>
    </row>
    <row r="11" spans="1:9" ht="17.399999999999999" x14ac:dyDescent="0.45">
      <c r="A11" s="475"/>
      <c r="B11" s="481"/>
      <c r="C11" s="481"/>
      <c r="D11" s="481"/>
      <c r="E11" s="481"/>
      <c r="F11" s="481" t="s">
        <v>648</v>
      </c>
      <c r="G11" s="484">
        <v>0</v>
      </c>
      <c r="H11" s="480"/>
      <c r="I11" s="485">
        <v>0</v>
      </c>
    </row>
    <row r="12" spans="1:9" ht="17.399999999999999" x14ac:dyDescent="0.45">
      <c r="A12" s="475"/>
      <c r="B12" s="481"/>
      <c r="C12" s="481"/>
      <c r="D12" s="486" t="s">
        <v>649</v>
      </c>
      <c r="E12" s="486"/>
      <c r="F12" s="486"/>
      <c r="G12" s="487">
        <f>SUBTOTAL(9, (G8:G11))</f>
        <v>1659573.6</v>
      </c>
      <c r="H12" s="480"/>
      <c r="I12" s="488">
        <f>SUBTOTAL(9, (I8:I11))</f>
        <v>1792339.4880000001</v>
      </c>
    </row>
    <row r="13" spans="1:9" ht="17.399999999999999" x14ac:dyDescent="0.45">
      <c r="A13" s="475"/>
      <c r="B13" s="481"/>
      <c r="C13" s="481"/>
      <c r="D13" s="486"/>
      <c r="E13" s="486"/>
      <c r="F13" s="486"/>
      <c r="G13" s="489"/>
      <c r="H13" s="480"/>
      <c r="I13" s="490"/>
    </row>
    <row r="14" spans="1:9" x14ac:dyDescent="0.3">
      <c r="A14" s="475"/>
      <c r="B14" s="479"/>
      <c r="C14" s="479"/>
      <c r="D14" s="479" t="s">
        <v>650</v>
      </c>
      <c r="E14" s="479"/>
      <c r="F14" s="479"/>
      <c r="G14" s="477"/>
      <c r="H14" s="480"/>
      <c r="I14" s="478"/>
    </row>
    <row r="15" spans="1:9" x14ac:dyDescent="0.3">
      <c r="A15" s="475"/>
      <c r="B15" s="481"/>
      <c r="C15" s="481"/>
      <c r="D15" s="481"/>
      <c r="E15" s="481"/>
      <c r="F15" s="481" t="s">
        <v>651</v>
      </c>
      <c r="G15" s="477">
        <v>-1125367.08</v>
      </c>
      <c r="H15" s="480">
        <f>G4</f>
        <v>4.4999999999999998E-2</v>
      </c>
      <c r="I15" s="478">
        <f>G15*(1+H15)</f>
        <v>-1176008.5985999999</v>
      </c>
    </row>
    <row r="16" spans="1:9" ht="17.399999999999999" x14ac:dyDescent="0.45">
      <c r="A16" s="475"/>
      <c r="B16" s="481"/>
      <c r="C16" s="481"/>
      <c r="D16" s="481"/>
      <c r="E16" s="481"/>
      <c r="F16" s="481" t="s">
        <v>652</v>
      </c>
      <c r="G16" s="484">
        <v>2177.16</v>
      </c>
      <c r="H16" s="480">
        <f>$H$15</f>
        <v>4.4999999999999998E-2</v>
      </c>
      <c r="I16" s="485">
        <f>G16*(1+H16)</f>
        <v>2275.1321999999996</v>
      </c>
    </row>
    <row r="17" spans="1:9" ht="17.399999999999999" x14ac:dyDescent="0.45">
      <c r="A17" s="475"/>
      <c r="B17" s="481"/>
      <c r="C17" s="481"/>
      <c r="D17" s="486" t="s">
        <v>653</v>
      </c>
      <c r="E17" s="486"/>
      <c r="F17" s="486"/>
      <c r="G17" s="487">
        <f>SUBTOTAL(9, (G14:G16))</f>
        <v>-1123189.9200000002</v>
      </c>
      <c r="H17" s="480"/>
      <c r="I17" s="488">
        <f>SUBTOTAL(9, (I14:I16))</f>
        <v>-1173733.4663999998</v>
      </c>
    </row>
    <row r="18" spans="1:9" ht="17.399999999999999" x14ac:dyDescent="0.45">
      <c r="A18" s="475"/>
      <c r="B18" s="481"/>
      <c r="C18" s="481"/>
      <c r="D18" s="486"/>
      <c r="E18" s="486"/>
      <c r="F18" s="486"/>
      <c r="G18" s="489"/>
      <c r="H18" s="480"/>
      <c r="I18" s="490"/>
    </row>
    <row r="19" spans="1:9" ht="17.399999999999999" x14ac:dyDescent="0.45">
      <c r="A19" s="475"/>
      <c r="B19" s="481"/>
      <c r="C19" s="486" t="s">
        <v>654</v>
      </c>
      <c r="D19" s="486"/>
      <c r="E19" s="486"/>
      <c r="F19" s="486"/>
      <c r="G19" s="487">
        <f>SUBTOTAL(109,G9:G17)</f>
        <v>536383.68000000005</v>
      </c>
      <c r="H19" s="480"/>
      <c r="I19" s="488">
        <f>SUBTOTAL(109,I9:I17)</f>
        <v>618606.02160000021</v>
      </c>
    </row>
    <row r="20" spans="1:9" x14ac:dyDescent="0.3">
      <c r="A20" s="475"/>
      <c r="B20" s="481"/>
      <c r="C20" s="486" t="s">
        <v>655</v>
      </c>
      <c r="D20" s="486"/>
      <c r="E20" s="486"/>
      <c r="F20" s="486"/>
      <c r="G20" s="491">
        <f>G19/G12</f>
        <v>0.32320571983068425</v>
      </c>
      <c r="H20" s="480"/>
      <c r="I20" s="492">
        <f>I19/I12</f>
        <v>0.34513886779913439</v>
      </c>
    </row>
    <row r="21" spans="1:9" x14ac:dyDescent="0.3">
      <c r="A21" s="475"/>
      <c r="B21" s="481"/>
      <c r="C21" s="486"/>
      <c r="D21" s="486"/>
      <c r="E21" s="486"/>
      <c r="F21" s="486"/>
      <c r="G21" s="491"/>
      <c r="H21" s="480"/>
      <c r="I21" s="492"/>
    </row>
    <row r="22" spans="1:9" x14ac:dyDescent="0.3">
      <c r="A22" s="475"/>
      <c r="B22" s="479"/>
      <c r="C22" s="479"/>
      <c r="D22" s="479" t="s">
        <v>656</v>
      </c>
      <c r="E22" s="479"/>
      <c r="F22" s="479"/>
      <c r="G22" s="477"/>
      <c r="H22" s="480"/>
      <c r="I22" s="478"/>
    </row>
    <row r="23" spans="1:9" x14ac:dyDescent="0.3">
      <c r="A23" s="475"/>
      <c r="B23" s="479"/>
      <c r="C23" s="479"/>
      <c r="D23" s="479"/>
      <c r="E23" s="479" t="s">
        <v>657</v>
      </c>
      <c r="F23" s="479"/>
      <c r="G23" s="477"/>
      <c r="H23" s="480"/>
      <c r="I23" s="478"/>
    </row>
    <row r="24" spans="1:9" x14ac:dyDescent="0.3">
      <c r="A24" s="475"/>
      <c r="B24" s="481"/>
      <c r="C24" s="481"/>
      <c r="D24" s="481"/>
      <c r="E24" s="481"/>
      <c r="F24" s="481" t="s">
        <v>658</v>
      </c>
      <c r="G24" s="477">
        <v>6966.48</v>
      </c>
      <c r="H24" s="480">
        <f>$H$15</f>
        <v>4.4999999999999998E-2</v>
      </c>
      <c r="I24" s="478">
        <f>G24*(1+H24)</f>
        <v>7279.9715999999989</v>
      </c>
    </row>
    <row r="25" spans="1:9" x14ac:dyDescent="0.3">
      <c r="A25" s="475"/>
      <c r="B25" s="481"/>
      <c r="C25" s="481"/>
      <c r="D25" s="481"/>
      <c r="E25" s="481"/>
      <c r="F25" s="481" t="s">
        <v>659</v>
      </c>
      <c r="G25" s="477">
        <v>7200</v>
      </c>
      <c r="H25" s="480">
        <f>$H$15</f>
        <v>4.4999999999999998E-2</v>
      </c>
      <c r="I25" s="478">
        <f>G25*(1+H25)</f>
        <v>7523.9999999999991</v>
      </c>
    </row>
    <row r="26" spans="1:9" ht="17.399999999999999" x14ac:dyDescent="0.45">
      <c r="A26" s="475"/>
      <c r="B26" s="481"/>
      <c r="C26" s="481"/>
      <c r="D26" s="481"/>
      <c r="E26" s="481"/>
      <c r="F26" s="481" t="s">
        <v>660</v>
      </c>
      <c r="G26" s="493">
        <v>1516.8</v>
      </c>
      <c r="H26" s="480">
        <f>$H$15</f>
        <v>4.4999999999999998E-2</v>
      </c>
      <c r="I26" s="494">
        <f>G26*(1+H26)</f>
        <v>1585.0559999999998</v>
      </c>
    </row>
    <row r="27" spans="1:9" ht="17.399999999999999" x14ac:dyDescent="0.45">
      <c r="A27" s="475"/>
      <c r="B27" s="481"/>
      <c r="C27" s="481"/>
      <c r="D27" s="481"/>
      <c r="E27" s="486" t="s">
        <v>661</v>
      </c>
      <c r="F27" s="486"/>
      <c r="G27" s="487">
        <f>SUBTOTAL(9, (G23:G26))</f>
        <v>15683.279999999999</v>
      </c>
      <c r="H27" s="480"/>
      <c r="I27" s="488">
        <f>SUBTOTAL(9, (I23:I26))</f>
        <v>16389.027599999998</v>
      </c>
    </row>
    <row r="28" spans="1:9" ht="17.399999999999999" x14ac:dyDescent="0.45">
      <c r="A28" s="475"/>
      <c r="B28" s="481"/>
      <c r="C28" s="481"/>
      <c r="D28" s="481"/>
      <c r="E28" s="486"/>
      <c r="F28" s="486"/>
      <c r="G28" s="489"/>
      <c r="H28" s="480"/>
      <c r="I28" s="490"/>
    </row>
    <row r="29" spans="1:9" x14ac:dyDescent="0.3">
      <c r="A29" s="475"/>
      <c r="B29" s="481"/>
      <c r="C29" s="481"/>
      <c r="D29" s="481"/>
      <c r="E29" s="481"/>
      <c r="F29" s="481" t="s">
        <v>662</v>
      </c>
      <c r="G29" s="477">
        <v>516</v>
      </c>
      <c r="H29" s="480">
        <f>$H$15</f>
        <v>4.4999999999999998E-2</v>
      </c>
      <c r="I29" s="478">
        <f>G29*(1+H29)</f>
        <v>539.21999999999991</v>
      </c>
    </row>
    <row r="30" spans="1:9" x14ac:dyDescent="0.3">
      <c r="A30" s="475"/>
      <c r="B30" s="481"/>
      <c r="C30" s="481"/>
      <c r="D30" s="481"/>
      <c r="E30" s="481"/>
      <c r="F30" s="481" t="s">
        <v>663</v>
      </c>
      <c r="G30" s="477">
        <v>571.55999999999995</v>
      </c>
      <c r="H30" s="480">
        <f>$H$15</f>
        <v>4.4999999999999998E-2</v>
      </c>
      <c r="I30" s="478">
        <f>G30*(1+H30)</f>
        <v>597.28019999999992</v>
      </c>
    </row>
    <row r="31" spans="1:9" x14ac:dyDescent="0.3">
      <c r="A31" s="475"/>
      <c r="B31" s="479"/>
      <c r="C31" s="479"/>
      <c r="D31" s="479"/>
      <c r="E31" s="479" t="s">
        <v>664</v>
      </c>
      <c r="F31" s="479"/>
      <c r="G31" s="477">
        <v>0</v>
      </c>
      <c r="H31" s="480"/>
      <c r="I31" s="478"/>
    </row>
    <row r="32" spans="1:9" x14ac:dyDescent="0.3">
      <c r="A32" s="475"/>
      <c r="B32" s="481"/>
      <c r="C32" s="481"/>
      <c r="D32" s="481"/>
      <c r="E32" s="481"/>
      <c r="F32" s="481" t="s">
        <v>665</v>
      </c>
      <c r="G32" s="477">
        <v>3000</v>
      </c>
      <c r="H32" s="480">
        <f>$H$15</f>
        <v>4.4999999999999998E-2</v>
      </c>
      <c r="I32" s="478">
        <f>G32*(1+H32)</f>
        <v>3135</v>
      </c>
    </row>
    <row r="33" spans="1:9" ht="17.399999999999999" x14ac:dyDescent="0.45">
      <c r="A33" s="475"/>
      <c r="B33" s="481"/>
      <c r="C33" s="481"/>
      <c r="D33" s="481"/>
      <c r="E33" s="481"/>
      <c r="F33" s="481" t="s">
        <v>666</v>
      </c>
      <c r="G33" s="493">
        <v>900</v>
      </c>
      <c r="H33" s="480">
        <f>$H$15</f>
        <v>4.4999999999999998E-2</v>
      </c>
      <c r="I33" s="494">
        <f>G33*(1+H33)</f>
        <v>940.49999999999989</v>
      </c>
    </row>
    <row r="34" spans="1:9" ht="17.399999999999999" x14ac:dyDescent="0.45">
      <c r="A34" s="475"/>
      <c r="B34" s="481"/>
      <c r="C34" s="481"/>
      <c r="D34" s="481"/>
      <c r="E34" s="486" t="s">
        <v>667</v>
      </c>
      <c r="F34" s="486"/>
      <c r="G34" s="487">
        <f>SUBTOTAL(9, (G31:G33))</f>
        <v>3900</v>
      </c>
      <c r="H34" s="480"/>
      <c r="I34" s="488">
        <f>SUBTOTAL(9, (I31:I33))</f>
        <v>4075.5</v>
      </c>
    </row>
    <row r="35" spans="1:9" ht="17.399999999999999" x14ac:dyDescent="0.45">
      <c r="A35" s="475"/>
      <c r="B35" s="481"/>
      <c r="C35" s="481"/>
      <c r="D35" s="481"/>
      <c r="E35" s="486"/>
      <c r="F35" s="486"/>
      <c r="G35" s="489"/>
      <c r="H35" s="480"/>
      <c r="I35" s="490"/>
    </row>
    <row r="36" spans="1:9" x14ac:dyDescent="0.3">
      <c r="A36" s="475"/>
      <c r="B36" s="481"/>
      <c r="C36" s="481"/>
      <c r="D36" s="481"/>
      <c r="E36" s="481"/>
      <c r="F36" s="481" t="s">
        <v>668</v>
      </c>
      <c r="G36" s="477">
        <v>1241.6400000000001</v>
      </c>
      <c r="H36" s="480">
        <f t="shared" ref="H36:H41" si="0">$H$15</f>
        <v>4.4999999999999998E-2</v>
      </c>
      <c r="I36" s="478">
        <f t="shared" ref="I36:I41" si="1">G36*(1+H36)</f>
        <v>1297.5137999999999</v>
      </c>
    </row>
    <row r="37" spans="1:9" x14ac:dyDescent="0.3">
      <c r="A37" s="475"/>
      <c r="B37" s="481"/>
      <c r="C37" s="481"/>
      <c r="D37" s="481"/>
      <c r="E37" s="481"/>
      <c r="F37" s="481" t="s">
        <v>669</v>
      </c>
      <c r="G37" s="477">
        <v>8042.76</v>
      </c>
      <c r="H37" s="480">
        <f t="shared" si="0"/>
        <v>4.4999999999999998E-2</v>
      </c>
      <c r="I37" s="478">
        <f t="shared" si="1"/>
        <v>8404.6841999999997</v>
      </c>
    </row>
    <row r="38" spans="1:9" x14ac:dyDescent="0.3">
      <c r="A38" s="475"/>
      <c r="B38" s="481"/>
      <c r="C38" s="481"/>
      <c r="D38" s="481"/>
      <c r="E38" s="481"/>
      <c r="F38" s="481" t="s">
        <v>670</v>
      </c>
      <c r="G38" s="477">
        <v>9889.44</v>
      </c>
      <c r="H38" s="480">
        <f t="shared" si="0"/>
        <v>4.4999999999999998E-2</v>
      </c>
      <c r="I38" s="478">
        <f t="shared" si="1"/>
        <v>10334.4648</v>
      </c>
    </row>
    <row r="39" spans="1:9" x14ac:dyDescent="0.3">
      <c r="A39" s="475"/>
      <c r="B39" s="481"/>
      <c r="C39" s="481"/>
      <c r="D39" s="481"/>
      <c r="E39" s="481"/>
      <c r="F39" s="481" t="s">
        <v>671</v>
      </c>
      <c r="G39" s="477">
        <v>1046.28</v>
      </c>
      <c r="H39" s="480">
        <f t="shared" si="0"/>
        <v>4.4999999999999998E-2</v>
      </c>
      <c r="I39" s="478">
        <f t="shared" si="1"/>
        <v>1093.3625999999999</v>
      </c>
    </row>
    <row r="40" spans="1:9" x14ac:dyDescent="0.3">
      <c r="A40" s="475"/>
      <c r="B40" s="481"/>
      <c r="C40" s="481"/>
      <c r="D40" s="481"/>
      <c r="E40" s="481"/>
      <c r="F40" s="481" t="s">
        <v>672</v>
      </c>
      <c r="G40" s="477">
        <v>31200</v>
      </c>
      <c r="H40" s="480">
        <f t="shared" si="0"/>
        <v>4.4999999999999998E-2</v>
      </c>
      <c r="I40" s="478">
        <f t="shared" si="1"/>
        <v>32603.999999999996</v>
      </c>
    </row>
    <row r="41" spans="1:9" x14ac:dyDescent="0.3">
      <c r="A41" s="475"/>
      <c r="B41" s="481"/>
      <c r="C41" s="481"/>
      <c r="D41" s="481"/>
      <c r="E41" s="481"/>
      <c r="F41" s="481" t="s">
        <v>673</v>
      </c>
      <c r="G41" s="477">
        <v>18543.599999999999</v>
      </c>
      <c r="H41" s="480">
        <f t="shared" si="0"/>
        <v>4.4999999999999998E-2</v>
      </c>
      <c r="I41" s="478">
        <f t="shared" si="1"/>
        <v>19378.061999999998</v>
      </c>
    </row>
    <row r="42" spans="1:9" x14ac:dyDescent="0.3">
      <c r="A42" s="475"/>
      <c r="B42" s="481"/>
      <c r="C42" s="481"/>
      <c r="D42" s="481"/>
      <c r="E42" s="481"/>
      <c r="F42" s="481"/>
      <c r="G42" s="477"/>
      <c r="H42" s="480"/>
      <c r="I42" s="478"/>
    </row>
    <row r="43" spans="1:9" x14ac:dyDescent="0.3">
      <c r="A43" s="475"/>
      <c r="B43" s="479"/>
      <c r="C43" s="479"/>
      <c r="D43" s="479"/>
      <c r="E43" s="479" t="s">
        <v>674</v>
      </c>
      <c r="F43" s="479"/>
      <c r="G43" s="477"/>
      <c r="H43" s="480"/>
      <c r="I43" s="478"/>
    </row>
    <row r="44" spans="1:9" ht="17.399999999999999" x14ac:dyDescent="0.45">
      <c r="A44" s="475"/>
      <c r="B44" s="481"/>
      <c r="C44" s="481"/>
      <c r="D44" s="481"/>
      <c r="E44" s="481"/>
      <c r="F44" s="481" t="s">
        <v>675</v>
      </c>
      <c r="G44" s="493">
        <v>41076</v>
      </c>
      <c r="H44" s="480">
        <f>H30</f>
        <v>4.4999999999999998E-2</v>
      </c>
      <c r="I44" s="494">
        <f>G44*(1+H44)</f>
        <v>42924.42</v>
      </c>
    </row>
    <row r="45" spans="1:9" ht="17.399999999999999" x14ac:dyDescent="0.45">
      <c r="A45" s="475"/>
      <c r="B45" s="481"/>
      <c r="C45" s="481"/>
      <c r="D45" s="481"/>
      <c r="E45" s="486" t="s">
        <v>676</v>
      </c>
      <c r="F45" s="486"/>
      <c r="G45" s="495">
        <f>SUBTOTAL(9, (G43:G44))</f>
        <v>41076</v>
      </c>
      <c r="H45" s="480"/>
      <c r="I45" s="496">
        <f>SUBTOTAL(9, (I43:I44))</f>
        <v>42924.42</v>
      </c>
    </row>
    <row r="46" spans="1:9" ht="17.399999999999999" x14ac:dyDescent="0.45">
      <c r="A46" s="475"/>
      <c r="B46" s="481"/>
      <c r="C46" s="481"/>
      <c r="D46" s="481"/>
      <c r="E46" s="486"/>
      <c r="F46" s="486"/>
      <c r="G46" s="493"/>
      <c r="H46" s="480"/>
      <c r="I46" s="494"/>
    </row>
    <row r="47" spans="1:9" x14ac:dyDescent="0.3">
      <c r="A47" s="475"/>
      <c r="B47" s="479"/>
      <c r="C47" s="479"/>
      <c r="D47" s="479"/>
      <c r="E47" s="479" t="s">
        <v>677</v>
      </c>
      <c r="F47" s="479"/>
      <c r="G47" s="477"/>
      <c r="H47" s="480"/>
      <c r="I47" s="478"/>
    </row>
    <row r="48" spans="1:9" x14ac:dyDescent="0.3">
      <c r="A48" s="475"/>
      <c r="B48" s="481"/>
      <c r="C48" s="481"/>
      <c r="D48" s="481"/>
      <c r="E48" s="481"/>
      <c r="F48" s="481" t="s">
        <v>678</v>
      </c>
      <c r="G48" s="477">
        <v>777.36</v>
      </c>
      <c r="H48" s="480">
        <f>$H$15</f>
        <v>4.4999999999999998E-2</v>
      </c>
      <c r="I48" s="478">
        <f>G48*(1+H48)</f>
        <v>812.34119999999996</v>
      </c>
    </row>
    <row r="49" spans="1:9" ht="17.399999999999999" x14ac:dyDescent="0.45">
      <c r="A49" s="475"/>
      <c r="B49" s="481"/>
      <c r="C49" s="481"/>
      <c r="D49" s="481"/>
      <c r="E49" s="481"/>
      <c r="F49" s="481" t="s">
        <v>679</v>
      </c>
      <c r="G49" s="493">
        <v>0</v>
      </c>
      <c r="H49" s="480">
        <f>$H$15</f>
        <v>4.4999999999999998E-2</v>
      </c>
      <c r="I49" s="494">
        <f>G49*(1+H49)</f>
        <v>0</v>
      </c>
    </row>
    <row r="50" spans="1:9" ht="17.399999999999999" x14ac:dyDescent="0.45">
      <c r="A50" s="475"/>
      <c r="B50" s="481"/>
      <c r="C50" s="481"/>
      <c r="D50" s="481"/>
      <c r="E50" s="486" t="s">
        <v>680</v>
      </c>
      <c r="F50" s="486"/>
      <c r="G50" s="487">
        <f>SUBTOTAL(9, (G47:G49))</f>
        <v>777.36</v>
      </c>
      <c r="H50" s="480"/>
      <c r="I50" s="488">
        <f>SUBTOTAL(9, (I47:I49))</f>
        <v>812.34119999999996</v>
      </c>
    </row>
    <row r="51" spans="1:9" ht="17.399999999999999" x14ac:dyDescent="0.45">
      <c r="A51" s="475"/>
      <c r="B51" s="481"/>
      <c r="C51" s="481"/>
      <c r="D51" s="481"/>
      <c r="E51" s="486"/>
      <c r="F51" s="486"/>
      <c r="G51" s="489"/>
      <c r="H51" s="480"/>
      <c r="I51" s="490"/>
    </row>
    <row r="52" spans="1:9" x14ac:dyDescent="0.3">
      <c r="A52" s="475"/>
      <c r="B52" s="479"/>
      <c r="C52" s="479"/>
      <c r="D52" s="479"/>
      <c r="E52" s="479" t="s">
        <v>681</v>
      </c>
      <c r="F52" s="479"/>
      <c r="G52" s="477"/>
      <c r="H52" s="480"/>
      <c r="I52" s="478"/>
    </row>
    <row r="53" spans="1:9" ht="17.399999999999999" x14ac:dyDescent="0.45">
      <c r="A53" s="475"/>
      <c r="B53" s="481"/>
      <c r="C53" s="481"/>
      <c r="D53" s="481"/>
      <c r="E53" s="481"/>
      <c r="F53" s="481" t="s">
        <v>682</v>
      </c>
      <c r="G53" s="493">
        <v>12000</v>
      </c>
      <c r="H53" s="480">
        <f>$H$15</f>
        <v>4.4999999999999998E-2</v>
      </c>
      <c r="I53" s="494">
        <f>G53*(1+H53)</f>
        <v>12540</v>
      </c>
    </row>
    <row r="54" spans="1:9" ht="17.399999999999999" x14ac:dyDescent="0.45">
      <c r="A54" s="475"/>
      <c r="B54" s="481"/>
      <c r="C54" s="481"/>
      <c r="D54" s="481"/>
      <c r="E54" s="486" t="s">
        <v>683</v>
      </c>
      <c r="F54" s="486"/>
      <c r="G54" s="495">
        <f>SUBTOTAL(9, (G52:G53))</f>
        <v>12000</v>
      </c>
      <c r="H54" s="480"/>
      <c r="I54" s="496">
        <f>SUBTOTAL(9, (I52:I53))</f>
        <v>12540</v>
      </c>
    </row>
    <row r="55" spans="1:9" ht="17.399999999999999" x14ac:dyDescent="0.45">
      <c r="A55" s="475"/>
      <c r="B55" s="481"/>
      <c r="C55" s="481"/>
      <c r="D55" s="481"/>
      <c r="E55" s="486"/>
      <c r="F55" s="486"/>
      <c r="G55" s="493"/>
      <c r="H55" s="480"/>
      <c r="I55" s="494"/>
    </row>
    <row r="56" spans="1:9" ht="17.399999999999999" x14ac:dyDescent="0.45">
      <c r="A56" s="475"/>
      <c r="B56" s="481"/>
      <c r="C56" s="481"/>
      <c r="D56" s="481"/>
      <c r="E56" s="481"/>
      <c r="F56" s="481" t="s">
        <v>684</v>
      </c>
      <c r="G56" s="493">
        <v>5670.34</v>
      </c>
      <c r="H56" s="480">
        <f>$H$15</f>
        <v>4.4999999999999998E-2</v>
      </c>
      <c r="I56" s="494">
        <f>G56*(1+H56)</f>
        <v>5925.5052999999998</v>
      </c>
    </row>
    <row r="57" spans="1:9" ht="17.399999999999999" x14ac:dyDescent="0.45">
      <c r="A57" s="475"/>
      <c r="B57" s="481"/>
      <c r="C57" s="481"/>
      <c r="D57" s="486" t="s">
        <v>685</v>
      </c>
      <c r="E57" s="486"/>
      <c r="F57" s="486"/>
      <c r="G57" s="489">
        <f>G27+G29+G30+G34+G36+G37+G38+G39+G40+G41+G45+G50+G54+G56</f>
        <v>150158.25999999998</v>
      </c>
      <c r="H57" s="497">
        <f>SUBTOTAL(109,G23:G56)</f>
        <v>150158.25999999998</v>
      </c>
      <c r="I57" s="490">
        <f>I27+I29+I30+I34+I36+I37+I38+I39+I40+I41+I45+I50+I54+I56</f>
        <v>156915.38169999997</v>
      </c>
    </row>
    <row r="58" spans="1:9" ht="17.399999999999999" x14ac:dyDescent="0.45">
      <c r="A58" s="475"/>
      <c r="B58" s="481"/>
      <c r="C58" s="481"/>
      <c r="D58" s="486"/>
      <c r="E58" s="486"/>
      <c r="F58" s="486"/>
      <c r="G58" s="489"/>
      <c r="H58" s="480"/>
      <c r="I58" s="490"/>
    </row>
    <row r="59" spans="1:9" ht="17.399999999999999" x14ac:dyDescent="0.45">
      <c r="A59" s="475"/>
      <c r="B59" s="498" t="s">
        <v>686</v>
      </c>
      <c r="C59" s="498"/>
      <c r="D59" s="498"/>
      <c r="E59" s="498"/>
      <c r="F59" s="498"/>
      <c r="G59" s="489">
        <f>G19-G57</f>
        <v>386225.42000000004</v>
      </c>
      <c r="H59" s="480"/>
      <c r="I59" s="490">
        <f>I19-I57</f>
        <v>461690.63990000024</v>
      </c>
    </row>
    <row r="60" spans="1:9" ht="17.399999999999999" x14ac:dyDescent="0.45">
      <c r="A60" s="475"/>
      <c r="B60" s="498"/>
      <c r="C60" s="498"/>
      <c r="D60" s="498"/>
      <c r="E60" s="498"/>
      <c r="F60" s="498"/>
      <c r="G60" s="489"/>
      <c r="H60" s="480"/>
      <c r="I60" s="490"/>
    </row>
    <row r="61" spans="1:9" x14ac:dyDescent="0.3">
      <c r="A61" s="475"/>
      <c r="B61" s="476" t="s">
        <v>687</v>
      </c>
      <c r="C61" s="476"/>
      <c r="D61" s="476"/>
      <c r="E61" s="476"/>
      <c r="F61" s="476"/>
      <c r="G61" s="477"/>
      <c r="H61" s="480"/>
      <c r="I61" s="478"/>
    </row>
    <row r="62" spans="1:9" x14ac:dyDescent="0.3">
      <c r="A62" s="475"/>
      <c r="B62" s="476"/>
      <c r="C62" s="476"/>
      <c r="D62" s="476"/>
      <c r="E62" s="476"/>
      <c r="F62" s="476"/>
      <c r="G62" s="477"/>
      <c r="H62" s="480"/>
      <c r="I62" s="478"/>
    </row>
    <row r="63" spans="1:9" x14ac:dyDescent="0.3">
      <c r="A63" s="475"/>
      <c r="B63" s="479"/>
      <c r="C63" s="479"/>
      <c r="D63" s="479" t="s">
        <v>688</v>
      </c>
      <c r="E63" s="479"/>
      <c r="F63" s="479"/>
      <c r="G63" s="477"/>
      <c r="H63" s="480"/>
      <c r="I63" s="478"/>
    </row>
    <row r="64" spans="1:9" x14ac:dyDescent="0.3">
      <c r="A64" s="475"/>
      <c r="B64" s="481"/>
      <c r="C64" s="481"/>
      <c r="D64" s="481"/>
      <c r="E64" s="481"/>
      <c r="F64" s="481" t="s">
        <v>689</v>
      </c>
      <c r="G64" s="477">
        <v>3000</v>
      </c>
      <c r="H64" s="480">
        <f>$G$3</f>
        <v>0.08</v>
      </c>
      <c r="I64" s="478">
        <f>G64*(1+H64)</f>
        <v>3240</v>
      </c>
    </row>
    <row r="65" spans="1:9" x14ac:dyDescent="0.3">
      <c r="A65" s="475"/>
      <c r="B65" s="481"/>
      <c r="C65" s="481"/>
      <c r="D65" s="481"/>
      <c r="E65" s="481"/>
      <c r="F65" s="481" t="s">
        <v>690</v>
      </c>
      <c r="G65" s="477">
        <v>2314</v>
      </c>
      <c r="H65" s="480">
        <f>$G$3</f>
        <v>0.08</v>
      </c>
      <c r="I65" s="478">
        <f>G65*(1+H65)</f>
        <v>2499.1200000000003</v>
      </c>
    </row>
    <row r="66" spans="1:9" ht="17.399999999999999" x14ac:dyDescent="0.45">
      <c r="A66" s="475"/>
      <c r="B66" s="481"/>
      <c r="C66" s="481"/>
      <c r="D66" s="481"/>
      <c r="E66" s="481"/>
      <c r="F66" s="481" t="s">
        <v>691</v>
      </c>
      <c r="G66" s="493">
        <v>6312</v>
      </c>
      <c r="H66" s="480">
        <f>$G$3</f>
        <v>0.08</v>
      </c>
      <c r="I66" s="494">
        <f>G66*(1+H66)</f>
        <v>6816.96</v>
      </c>
    </row>
    <row r="67" spans="1:9" ht="17.399999999999999" x14ac:dyDescent="0.45">
      <c r="A67" s="475"/>
      <c r="B67" s="481"/>
      <c r="C67" s="481"/>
      <c r="D67" s="486" t="s">
        <v>692</v>
      </c>
      <c r="E67" s="486"/>
      <c r="F67" s="486"/>
      <c r="G67" s="489">
        <f>SUBTOTAL(9, (G63:G66))</f>
        <v>11626</v>
      </c>
      <c r="H67" s="480"/>
      <c r="I67" s="490">
        <f>SUBTOTAL(9, (I63:I66))</f>
        <v>12556.080000000002</v>
      </c>
    </row>
    <row r="68" spans="1:9" ht="17.399999999999999" x14ac:dyDescent="0.45">
      <c r="A68" s="475"/>
      <c r="B68" s="481"/>
      <c r="C68" s="481"/>
      <c r="D68" s="486"/>
      <c r="E68" s="486"/>
      <c r="F68" s="486"/>
      <c r="G68" s="489"/>
      <c r="H68" s="480"/>
      <c r="I68" s="490"/>
    </row>
    <row r="69" spans="1:9" ht="17.399999999999999" x14ac:dyDescent="0.45">
      <c r="A69" s="475"/>
      <c r="B69" s="479"/>
      <c r="C69" s="479"/>
      <c r="D69" s="479" t="s">
        <v>693</v>
      </c>
      <c r="E69" s="479"/>
      <c r="F69" s="479"/>
      <c r="G69" s="493"/>
      <c r="H69" s="480"/>
      <c r="I69" s="494"/>
    </row>
    <row r="70" spans="1:9" ht="17.399999999999999" x14ac:dyDescent="0.45">
      <c r="A70" s="475"/>
      <c r="B70" s="481"/>
      <c r="C70" s="481"/>
      <c r="D70" s="481"/>
      <c r="E70" s="481"/>
      <c r="F70" s="481" t="s">
        <v>694</v>
      </c>
      <c r="G70" s="493">
        <v>2136</v>
      </c>
      <c r="H70" s="480">
        <f>$H$15</f>
        <v>4.4999999999999998E-2</v>
      </c>
      <c r="I70" s="494">
        <f>G70*(1+H70)</f>
        <v>2232.12</v>
      </c>
    </row>
    <row r="71" spans="1:9" ht="17.399999999999999" x14ac:dyDescent="0.45">
      <c r="A71" s="475"/>
      <c r="B71" s="481"/>
      <c r="C71" s="481"/>
      <c r="D71" s="486" t="s">
        <v>695</v>
      </c>
      <c r="E71" s="486"/>
      <c r="F71" s="486"/>
      <c r="G71" s="493">
        <f>SUBTOTAL(9, (G69:G70))</f>
        <v>2136</v>
      </c>
      <c r="H71" s="480"/>
      <c r="I71" s="494">
        <f>SUBTOTAL(9, (I69:I70))</f>
        <v>2232.12</v>
      </c>
    </row>
    <row r="72" spans="1:9" ht="17.399999999999999" x14ac:dyDescent="0.45">
      <c r="A72" s="475"/>
      <c r="B72" s="481"/>
      <c r="C72" s="481"/>
      <c r="D72" s="486"/>
      <c r="E72" s="486"/>
      <c r="F72" s="486"/>
      <c r="G72" s="493"/>
      <c r="H72" s="480"/>
      <c r="I72" s="494"/>
    </row>
    <row r="73" spans="1:9" ht="17.399999999999999" x14ac:dyDescent="0.45">
      <c r="A73" s="475"/>
      <c r="B73" s="498" t="s">
        <v>696</v>
      </c>
      <c r="C73" s="498"/>
      <c r="D73" s="498"/>
      <c r="E73" s="498"/>
      <c r="F73" s="498"/>
      <c r="G73" s="489">
        <f>G67-G71</f>
        <v>9490</v>
      </c>
      <c r="H73" s="480"/>
      <c r="I73" s="490">
        <f>I67-I71</f>
        <v>10323.960000000003</v>
      </c>
    </row>
    <row r="74" spans="1:9" ht="17.399999999999999" x14ac:dyDescent="0.45">
      <c r="B74" s="498"/>
      <c r="C74" s="498"/>
      <c r="D74" s="498"/>
      <c r="E74" s="498"/>
      <c r="F74" s="498"/>
      <c r="G74" s="489"/>
      <c r="H74" s="480"/>
      <c r="I74" s="490"/>
    </row>
    <row r="75" spans="1:9" ht="17.399999999999999" x14ac:dyDescent="0.45">
      <c r="B75" s="499" t="s">
        <v>697</v>
      </c>
      <c r="C75" s="499"/>
      <c r="D75" s="499"/>
      <c r="E75" s="499"/>
      <c r="F75" s="499"/>
      <c r="G75" s="500">
        <f>G59+G73</f>
        <v>395715.42000000004</v>
      </c>
      <c r="H75" s="480"/>
      <c r="I75" s="501">
        <f>I59+I73</f>
        <v>472014.59990000026</v>
      </c>
    </row>
    <row r="76" spans="1:9" x14ac:dyDescent="0.3">
      <c r="H76" s="480"/>
    </row>
    <row r="77" spans="1:9" x14ac:dyDescent="0.3">
      <c r="H77" s="48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showGridLines="0" workbookViewId="0">
      <selection activeCell="C7" sqref="C7"/>
    </sheetView>
  </sheetViews>
  <sheetFormatPr defaultColWidth="9.109375" defaultRowHeight="15.6" x14ac:dyDescent="0.3"/>
  <cols>
    <col min="1" max="1" width="13" style="142" customWidth="1"/>
    <col min="2" max="3" width="9.109375" style="142"/>
    <col min="4" max="4" width="11.5546875" style="453" bestFit="1" customWidth="1"/>
    <col min="5" max="5" width="21.5546875" style="428" customWidth="1"/>
    <col min="6" max="6" width="32.109375" style="428" customWidth="1"/>
    <col min="7" max="7" width="32.6640625" style="428" bestFit="1" customWidth="1"/>
    <col min="8" max="8" width="15.33203125" style="428" bestFit="1" customWidth="1"/>
    <col min="9" max="9" width="31.5546875" style="428" bestFit="1" customWidth="1"/>
    <col min="10" max="10" width="9.109375" style="428"/>
    <col min="11" max="16384" width="9.109375" style="142"/>
  </cols>
  <sheetData>
    <row r="1" spans="1:10" ht="23.4" x14ac:dyDescent="0.45">
      <c r="A1" s="33" t="s">
        <v>250</v>
      </c>
      <c r="F1" s="462">
        <f>SUMIF(C6:C120,J1,D6:D120)</f>
        <v>0</v>
      </c>
      <c r="J1" s="638" t="s">
        <v>3016</v>
      </c>
    </row>
    <row r="2" spans="1:10" x14ac:dyDescent="0.3">
      <c r="E2" s="453" t="s">
        <v>1018</v>
      </c>
      <c r="F2" s="462">
        <f>SUMIF(C6:C120,E2,D6:D120)</f>
        <v>26607.499999999996</v>
      </c>
    </row>
    <row r="3" spans="1:10" x14ac:dyDescent="0.3">
      <c r="E3" s="453" t="s">
        <v>1019</v>
      </c>
      <c r="F3" s="462">
        <f>SUMIF(C6:C120,E3,D6:D120)</f>
        <v>25800</v>
      </c>
    </row>
    <row r="4" spans="1:10" ht="16.2" thickBot="1" x14ac:dyDescent="0.35">
      <c r="E4" s="453"/>
      <c r="F4" s="463">
        <f>SUM(F1:F3)</f>
        <v>52407.5</v>
      </c>
    </row>
    <row r="5" spans="1:10" s="452" customFormat="1" ht="32.4" thickTop="1" thickBot="1" x14ac:dyDescent="0.35">
      <c r="A5" s="253" t="s">
        <v>1016</v>
      </c>
      <c r="B5" s="253" t="s">
        <v>725</v>
      </c>
      <c r="C5" s="253" t="s">
        <v>264</v>
      </c>
      <c r="D5" s="450" t="s">
        <v>1020</v>
      </c>
      <c r="E5" s="253" t="s">
        <v>726</v>
      </c>
      <c r="F5" s="253" t="s">
        <v>182</v>
      </c>
      <c r="G5" s="253" t="s">
        <v>175</v>
      </c>
      <c r="H5" s="253" t="s">
        <v>184</v>
      </c>
      <c r="I5" s="253" t="s">
        <v>1015</v>
      </c>
      <c r="J5" s="451"/>
    </row>
    <row r="6" spans="1:10" x14ac:dyDescent="0.3">
      <c r="A6" s="252">
        <v>41754</v>
      </c>
      <c r="B6" s="142">
        <v>3245</v>
      </c>
      <c r="C6" s="142" t="s">
        <v>1017</v>
      </c>
      <c r="D6" s="453">
        <v>3445</v>
      </c>
      <c r="E6" s="265" t="s">
        <v>727</v>
      </c>
      <c r="F6" s="265" t="s">
        <v>728</v>
      </c>
      <c r="G6" s="265" t="s">
        <v>729</v>
      </c>
      <c r="H6" s="265" t="s">
        <v>730</v>
      </c>
      <c r="I6" s="265"/>
    </row>
    <row r="7" spans="1:10" x14ac:dyDescent="0.3">
      <c r="A7" s="252">
        <v>41755</v>
      </c>
      <c r="B7" s="142">
        <v>3246</v>
      </c>
      <c r="C7" s="142" t="s">
        <v>1018</v>
      </c>
      <c r="D7" s="453">
        <v>545</v>
      </c>
      <c r="E7" s="265" t="s">
        <v>731</v>
      </c>
      <c r="F7" s="265" t="s">
        <v>732</v>
      </c>
      <c r="G7" s="265" t="s">
        <v>733</v>
      </c>
      <c r="H7" s="265" t="s">
        <v>734</v>
      </c>
      <c r="I7" s="265" t="s">
        <v>735</v>
      </c>
    </row>
    <row r="8" spans="1:10" x14ac:dyDescent="0.3">
      <c r="A8" s="252">
        <v>41756</v>
      </c>
      <c r="B8" s="142">
        <v>3247</v>
      </c>
      <c r="C8" s="142" t="s">
        <v>1019</v>
      </c>
      <c r="D8" s="453">
        <v>600</v>
      </c>
      <c r="E8" s="265" t="s">
        <v>736</v>
      </c>
      <c r="F8" s="265"/>
      <c r="G8" s="265"/>
      <c r="H8" s="265"/>
      <c r="I8" s="265"/>
    </row>
    <row r="9" spans="1:10" x14ac:dyDescent="0.3">
      <c r="A9" s="252">
        <v>41757</v>
      </c>
      <c r="B9" s="142">
        <v>3248</v>
      </c>
      <c r="C9" s="142" t="s">
        <v>1017</v>
      </c>
      <c r="D9" s="453">
        <v>7445</v>
      </c>
      <c r="E9" s="265" t="s">
        <v>737</v>
      </c>
      <c r="F9" s="265"/>
      <c r="G9" s="265"/>
      <c r="H9" s="265"/>
      <c r="I9" s="265"/>
    </row>
    <row r="10" spans="1:10" x14ac:dyDescent="0.3">
      <c r="A10" s="252">
        <v>41758</v>
      </c>
      <c r="B10" s="142">
        <v>3249</v>
      </c>
      <c r="C10" s="142" t="s">
        <v>1017</v>
      </c>
      <c r="D10" s="453">
        <v>2546</v>
      </c>
      <c r="E10" s="265" t="s">
        <v>738</v>
      </c>
      <c r="F10" s="265"/>
      <c r="G10" s="265"/>
      <c r="H10" s="265"/>
      <c r="I10" s="265"/>
    </row>
    <row r="11" spans="1:10" x14ac:dyDescent="0.3">
      <c r="A11" s="252">
        <v>41759</v>
      </c>
      <c r="B11" s="142">
        <v>3250</v>
      </c>
      <c r="C11" s="142" t="s">
        <v>1018</v>
      </c>
      <c r="D11" s="453">
        <v>354</v>
      </c>
      <c r="E11" s="265" t="s">
        <v>739</v>
      </c>
      <c r="F11" s="265"/>
      <c r="G11" s="265"/>
      <c r="H11" s="265"/>
      <c r="I11" s="265"/>
    </row>
    <row r="12" spans="1:10" x14ac:dyDescent="0.3">
      <c r="A12" s="252">
        <v>41762</v>
      </c>
      <c r="B12" s="142">
        <v>3251</v>
      </c>
      <c r="C12" s="142" t="s">
        <v>1019</v>
      </c>
      <c r="D12" s="453">
        <v>1200</v>
      </c>
      <c r="E12" s="265" t="s">
        <v>740</v>
      </c>
      <c r="F12" s="265"/>
      <c r="G12" s="265"/>
      <c r="H12" s="265"/>
      <c r="I12" s="265"/>
    </row>
    <row r="13" spans="1:10" x14ac:dyDescent="0.3">
      <c r="A13" s="252">
        <v>41763</v>
      </c>
      <c r="B13" s="142">
        <v>3252</v>
      </c>
      <c r="C13" s="142" t="s">
        <v>1017</v>
      </c>
      <c r="D13" s="453">
        <v>665</v>
      </c>
      <c r="E13" s="265" t="s">
        <v>741</v>
      </c>
      <c r="F13" s="265" t="s">
        <v>742</v>
      </c>
      <c r="G13" s="265" t="s">
        <v>743</v>
      </c>
      <c r="H13" s="265" t="s">
        <v>744</v>
      </c>
      <c r="I13" s="265" t="s">
        <v>745</v>
      </c>
    </row>
    <row r="14" spans="1:10" x14ac:dyDescent="0.3">
      <c r="A14" s="252">
        <v>41766</v>
      </c>
      <c r="B14" s="142">
        <v>3253</v>
      </c>
      <c r="C14" s="142" t="s">
        <v>1017</v>
      </c>
      <c r="D14" s="453">
        <v>3466</v>
      </c>
      <c r="E14" s="265" t="s">
        <v>746</v>
      </c>
      <c r="F14" s="265" t="s">
        <v>747</v>
      </c>
      <c r="G14" s="266" t="s">
        <v>748</v>
      </c>
      <c r="H14" s="265" t="s">
        <v>749</v>
      </c>
      <c r="I14" s="265" t="s">
        <v>750</v>
      </c>
    </row>
    <row r="15" spans="1:10" x14ac:dyDescent="0.3">
      <c r="A15" s="252">
        <v>41769</v>
      </c>
      <c r="B15" s="142">
        <v>3254</v>
      </c>
      <c r="C15" s="142" t="s">
        <v>1018</v>
      </c>
      <c r="D15" s="453">
        <v>546</v>
      </c>
      <c r="E15" s="265" t="s">
        <v>751</v>
      </c>
      <c r="F15" s="265"/>
      <c r="G15" s="265"/>
      <c r="H15" s="265"/>
      <c r="I15" s="265"/>
    </row>
    <row r="16" spans="1:10" x14ac:dyDescent="0.3">
      <c r="A16" s="252">
        <v>41770</v>
      </c>
      <c r="B16" s="142">
        <v>3255</v>
      </c>
      <c r="C16" s="142" t="s">
        <v>1019</v>
      </c>
      <c r="D16" s="453">
        <v>600</v>
      </c>
      <c r="E16" s="265" t="s">
        <v>752</v>
      </c>
      <c r="F16" s="265" t="s">
        <v>753</v>
      </c>
      <c r="G16" s="265" t="s">
        <v>754</v>
      </c>
      <c r="H16" s="265" t="s">
        <v>755</v>
      </c>
      <c r="I16" s="265"/>
    </row>
    <row r="17" spans="1:9" x14ac:dyDescent="0.3">
      <c r="A17" s="252">
        <v>41771</v>
      </c>
      <c r="B17" s="142">
        <v>3256</v>
      </c>
      <c r="C17" s="142" t="s">
        <v>1017</v>
      </c>
      <c r="D17" s="453">
        <v>7764</v>
      </c>
      <c r="E17" s="265" t="s">
        <v>756</v>
      </c>
      <c r="F17" s="265"/>
      <c r="G17" s="265"/>
      <c r="H17" s="265"/>
      <c r="I17" s="265"/>
    </row>
    <row r="18" spans="1:9" x14ac:dyDescent="0.3">
      <c r="A18" s="252">
        <v>41773</v>
      </c>
      <c r="B18" s="142">
        <v>3257</v>
      </c>
      <c r="C18" s="142" t="s">
        <v>1017</v>
      </c>
      <c r="D18" s="453">
        <v>434</v>
      </c>
      <c r="E18" s="266" t="s">
        <v>757</v>
      </c>
      <c r="F18" s="265"/>
      <c r="G18" s="265" t="s">
        <v>758</v>
      </c>
      <c r="H18" s="265" t="s">
        <v>759</v>
      </c>
      <c r="I18" s="265"/>
    </row>
    <row r="19" spans="1:9" x14ac:dyDescent="0.3">
      <c r="A19" s="252">
        <v>41776</v>
      </c>
      <c r="B19" s="142">
        <v>3258</v>
      </c>
      <c r="C19" s="142" t="s">
        <v>1018</v>
      </c>
      <c r="D19" s="453">
        <v>866</v>
      </c>
      <c r="E19" s="265" t="s">
        <v>760</v>
      </c>
      <c r="F19" s="265" t="s">
        <v>761</v>
      </c>
      <c r="G19" s="265" t="s">
        <v>754</v>
      </c>
      <c r="H19" s="265" t="s">
        <v>762</v>
      </c>
      <c r="I19" s="265"/>
    </row>
    <row r="20" spans="1:9" x14ac:dyDescent="0.3">
      <c r="A20" s="252">
        <v>41777</v>
      </c>
      <c r="B20" s="142">
        <v>3259</v>
      </c>
      <c r="C20" s="142" t="s">
        <v>1019</v>
      </c>
      <c r="D20" s="453">
        <v>600</v>
      </c>
      <c r="E20" s="265" t="s">
        <v>763</v>
      </c>
      <c r="F20" s="265" t="s">
        <v>764</v>
      </c>
      <c r="G20" s="265" t="s">
        <v>765</v>
      </c>
      <c r="H20" s="265" t="s">
        <v>766</v>
      </c>
      <c r="I20" s="265" t="s">
        <v>767</v>
      </c>
    </row>
    <row r="21" spans="1:9" x14ac:dyDescent="0.3">
      <c r="A21" s="252">
        <v>41779</v>
      </c>
      <c r="B21" s="142">
        <v>3260</v>
      </c>
      <c r="C21" s="142" t="s">
        <v>1017</v>
      </c>
      <c r="D21" s="453">
        <v>5747</v>
      </c>
      <c r="E21" s="265" t="s">
        <v>768</v>
      </c>
      <c r="F21" s="265" t="s">
        <v>769</v>
      </c>
      <c r="G21" s="265" t="s">
        <v>770</v>
      </c>
      <c r="H21" s="265" t="s">
        <v>771</v>
      </c>
      <c r="I21" s="265"/>
    </row>
    <row r="22" spans="1:9" x14ac:dyDescent="0.3">
      <c r="A22" s="252">
        <v>41782</v>
      </c>
      <c r="B22" s="142">
        <v>3261</v>
      </c>
      <c r="C22" s="142" t="s">
        <v>1017</v>
      </c>
      <c r="D22" s="453">
        <v>577</v>
      </c>
      <c r="E22" s="265" t="s">
        <v>772</v>
      </c>
      <c r="F22" s="265"/>
      <c r="G22" s="265"/>
      <c r="H22" s="265"/>
      <c r="I22" s="265"/>
    </row>
    <row r="23" spans="1:9" x14ac:dyDescent="0.3">
      <c r="A23" s="252">
        <v>41783</v>
      </c>
      <c r="B23" s="142">
        <v>3262</v>
      </c>
      <c r="C23" s="142" t="s">
        <v>1018</v>
      </c>
      <c r="D23" s="453">
        <v>876</v>
      </c>
      <c r="E23" s="265" t="s">
        <v>773</v>
      </c>
      <c r="F23" s="265"/>
      <c r="G23" s="265"/>
      <c r="H23" s="265"/>
      <c r="I23" s="265"/>
    </row>
    <row r="24" spans="1:9" x14ac:dyDescent="0.3">
      <c r="A24" s="252">
        <v>41785</v>
      </c>
      <c r="B24" s="142">
        <v>3263</v>
      </c>
      <c r="C24" s="142" t="s">
        <v>1019</v>
      </c>
      <c r="D24" s="453">
        <v>1200</v>
      </c>
      <c r="E24" s="265" t="s">
        <v>774</v>
      </c>
      <c r="F24" s="265" t="s">
        <v>775</v>
      </c>
      <c r="G24" s="265" t="s">
        <v>776</v>
      </c>
      <c r="H24" s="265" t="s">
        <v>777</v>
      </c>
      <c r="I24" s="265"/>
    </row>
    <row r="25" spans="1:9" x14ac:dyDescent="0.3">
      <c r="A25" s="252">
        <v>41788</v>
      </c>
      <c r="B25" s="142">
        <v>3264</v>
      </c>
      <c r="C25" s="142" t="s">
        <v>1017</v>
      </c>
      <c r="D25" s="453">
        <v>8658</v>
      </c>
      <c r="E25" s="265" t="s">
        <v>778</v>
      </c>
      <c r="F25" s="265" t="s">
        <v>779</v>
      </c>
      <c r="G25" s="265" t="s">
        <v>780</v>
      </c>
      <c r="H25" s="266" t="s">
        <v>781</v>
      </c>
      <c r="I25" s="265" t="s">
        <v>782</v>
      </c>
    </row>
    <row r="26" spans="1:9" x14ac:dyDescent="0.3">
      <c r="A26" s="252">
        <v>41789</v>
      </c>
      <c r="B26" s="142">
        <v>3265</v>
      </c>
      <c r="C26" s="142" t="s">
        <v>1017</v>
      </c>
      <c r="D26" s="453">
        <v>4753</v>
      </c>
      <c r="E26" s="265" t="s">
        <v>783</v>
      </c>
      <c r="F26" s="265"/>
      <c r="G26" s="265"/>
      <c r="H26" s="265"/>
      <c r="I26" s="265"/>
    </row>
    <row r="27" spans="1:9" x14ac:dyDescent="0.3">
      <c r="A27" s="252">
        <v>41790</v>
      </c>
      <c r="B27" s="142">
        <v>3266</v>
      </c>
      <c r="C27" s="142" t="s">
        <v>1018</v>
      </c>
      <c r="D27" s="453">
        <v>975</v>
      </c>
      <c r="E27" s="265" t="s">
        <v>784</v>
      </c>
      <c r="F27" s="265"/>
      <c r="G27" s="265"/>
      <c r="H27" s="265"/>
      <c r="I27" s="265"/>
    </row>
    <row r="28" spans="1:9" x14ac:dyDescent="0.3">
      <c r="A28" s="252">
        <v>41792</v>
      </c>
      <c r="B28" s="142">
        <v>3267</v>
      </c>
      <c r="C28" s="142" t="s">
        <v>1019</v>
      </c>
      <c r="D28" s="453">
        <v>1800</v>
      </c>
      <c r="E28" s="265" t="s">
        <v>785</v>
      </c>
      <c r="F28" s="265" t="s">
        <v>786</v>
      </c>
      <c r="G28" s="265" t="s">
        <v>787</v>
      </c>
      <c r="H28" s="265" t="s">
        <v>788</v>
      </c>
      <c r="I28" s="265" t="s">
        <v>789</v>
      </c>
    </row>
    <row r="29" spans="1:9" x14ac:dyDescent="0.3">
      <c r="A29" s="252">
        <v>41794</v>
      </c>
      <c r="B29" s="142">
        <v>3268</v>
      </c>
      <c r="C29" s="142" t="s">
        <v>1017</v>
      </c>
      <c r="D29" s="453">
        <v>754</v>
      </c>
      <c r="E29" s="265" t="s">
        <v>790</v>
      </c>
      <c r="F29" s="265"/>
      <c r="G29" s="265"/>
      <c r="H29" s="265"/>
      <c r="I29" s="265"/>
    </row>
    <row r="30" spans="1:9" x14ac:dyDescent="0.3">
      <c r="A30" s="252">
        <v>41795</v>
      </c>
      <c r="B30" s="142">
        <v>3269</v>
      </c>
      <c r="C30" s="142" t="s">
        <v>1017</v>
      </c>
      <c r="D30" s="453">
        <v>3678</v>
      </c>
      <c r="E30" s="265" t="s">
        <v>791</v>
      </c>
      <c r="F30" s="265" t="s">
        <v>792</v>
      </c>
      <c r="G30" s="265" t="s">
        <v>793</v>
      </c>
      <c r="H30" s="265" t="s">
        <v>794</v>
      </c>
      <c r="I30" s="265"/>
    </row>
    <row r="31" spans="1:9" x14ac:dyDescent="0.3">
      <c r="A31" s="252">
        <v>41796</v>
      </c>
      <c r="B31" s="142">
        <v>3270</v>
      </c>
      <c r="C31" s="142" t="s">
        <v>1018</v>
      </c>
      <c r="D31" s="453">
        <v>54</v>
      </c>
      <c r="E31" s="265" t="s">
        <v>795</v>
      </c>
      <c r="F31" s="265"/>
      <c r="G31" s="265"/>
      <c r="H31" s="265"/>
      <c r="I31" s="265"/>
    </row>
    <row r="32" spans="1:9" x14ac:dyDescent="0.3">
      <c r="A32" s="252">
        <v>41797</v>
      </c>
      <c r="B32" s="142">
        <v>3271</v>
      </c>
      <c r="C32" s="142" t="s">
        <v>1019</v>
      </c>
      <c r="D32" s="453">
        <v>600</v>
      </c>
      <c r="E32" s="265" t="s">
        <v>796</v>
      </c>
      <c r="F32" s="265"/>
      <c r="G32" s="265"/>
      <c r="H32" s="265"/>
      <c r="I32" s="265"/>
    </row>
    <row r="33" spans="1:9" x14ac:dyDescent="0.3">
      <c r="A33" s="252">
        <v>41799</v>
      </c>
      <c r="B33" s="142">
        <v>3272</v>
      </c>
      <c r="C33" s="142" t="s">
        <v>1017</v>
      </c>
      <c r="D33" s="453">
        <v>754</v>
      </c>
      <c r="E33" s="265" t="s">
        <v>797</v>
      </c>
      <c r="F33" s="265"/>
      <c r="G33" s="265"/>
      <c r="H33" s="265"/>
      <c r="I33" s="265"/>
    </row>
    <row r="34" spans="1:9" x14ac:dyDescent="0.3">
      <c r="A34" s="252">
        <v>41800</v>
      </c>
      <c r="B34" s="142">
        <v>3273</v>
      </c>
      <c r="C34" s="142" t="s">
        <v>1017</v>
      </c>
      <c r="D34" s="453">
        <v>878</v>
      </c>
      <c r="E34" s="265" t="s">
        <v>798</v>
      </c>
      <c r="F34" s="265" t="s">
        <v>799</v>
      </c>
      <c r="G34" s="265" t="s">
        <v>729</v>
      </c>
      <c r="H34" s="265" t="s">
        <v>800</v>
      </c>
      <c r="I34" s="265" t="s">
        <v>801</v>
      </c>
    </row>
    <row r="35" spans="1:9" x14ac:dyDescent="0.3">
      <c r="A35" s="252">
        <v>41801</v>
      </c>
      <c r="B35" s="142">
        <v>3274</v>
      </c>
      <c r="C35" s="142" t="s">
        <v>1018</v>
      </c>
      <c r="D35" s="453">
        <v>758</v>
      </c>
      <c r="E35" s="265" t="s">
        <v>802</v>
      </c>
      <c r="F35" s="265" t="s">
        <v>803</v>
      </c>
      <c r="G35" s="265" t="s">
        <v>770</v>
      </c>
      <c r="H35" s="265"/>
      <c r="I35" s="265"/>
    </row>
    <row r="36" spans="1:9" x14ac:dyDescent="0.3">
      <c r="A36" s="252">
        <v>41804</v>
      </c>
      <c r="B36" s="142">
        <v>3275</v>
      </c>
      <c r="C36" s="142" t="s">
        <v>1019</v>
      </c>
      <c r="D36" s="453">
        <v>600</v>
      </c>
      <c r="E36" s="265" t="s">
        <v>804</v>
      </c>
      <c r="F36" s="265"/>
      <c r="G36" s="265"/>
      <c r="H36" s="265"/>
      <c r="I36" s="265"/>
    </row>
    <row r="37" spans="1:9" x14ac:dyDescent="0.3">
      <c r="A37" s="252">
        <v>41806</v>
      </c>
      <c r="B37" s="142">
        <v>3276</v>
      </c>
      <c r="C37" s="142" t="s">
        <v>1017</v>
      </c>
      <c r="D37" s="453">
        <v>9885</v>
      </c>
      <c r="E37" s="265" t="s">
        <v>805</v>
      </c>
      <c r="F37" s="265"/>
      <c r="G37" s="265"/>
      <c r="H37" s="265"/>
      <c r="I37" s="265"/>
    </row>
    <row r="38" spans="1:9" x14ac:dyDescent="0.3">
      <c r="A38" s="252">
        <v>41808</v>
      </c>
      <c r="B38" s="142">
        <v>3277</v>
      </c>
      <c r="C38" s="142" t="s">
        <v>1017</v>
      </c>
      <c r="D38" s="453">
        <v>6745</v>
      </c>
      <c r="E38" s="265" t="s">
        <v>806</v>
      </c>
      <c r="F38" s="265"/>
      <c r="G38" s="265"/>
      <c r="H38" s="265"/>
      <c r="I38" s="265"/>
    </row>
    <row r="39" spans="1:9" x14ac:dyDescent="0.3">
      <c r="A39" s="252">
        <v>41810</v>
      </c>
      <c r="B39" s="142">
        <v>3278</v>
      </c>
      <c r="C39" s="142" t="s">
        <v>1018</v>
      </c>
      <c r="D39" s="453">
        <v>864</v>
      </c>
      <c r="E39" s="266" t="s">
        <v>807</v>
      </c>
      <c r="F39" s="265"/>
      <c r="G39" s="265"/>
      <c r="H39" s="265"/>
      <c r="I39" s="265"/>
    </row>
    <row r="40" spans="1:9" x14ac:dyDescent="0.3">
      <c r="A40" s="252">
        <v>41813</v>
      </c>
      <c r="B40" s="142">
        <v>3279</v>
      </c>
      <c r="C40" s="142" t="s">
        <v>1019</v>
      </c>
      <c r="D40" s="453">
        <v>600</v>
      </c>
      <c r="E40" s="266" t="s">
        <v>808</v>
      </c>
      <c r="F40" s="265"/>
      <c r="G40" s="265"/>
      <c r="H40" s="265"/>
      <c r="I40" s="265"/>
    </row>
    <row r="41" spans="1:9" x14ac:dyDescent="0.3">
      <c r="A41" s="252">
        <v>41814</v>
      </c>
      <c r="B41" s="142">
        <v>3280</v>
      </c>
      <c r="C41" s="142" t="s">
        <v>1017</v>
      </c>
      <c r="D41" s="453">
        <v>5792.6944444444398</v>
      </c>
      <c r="E41" s="265" t="s">
        <v>809</v>
      </c>
      <c r="F41" s="265"/>
      <c r="G41" s="265"/>
      <c r="H41" s="265"/>
      <c r="I41" s="265"/>
    </row>
    <row r="42" spans="1:9" x14ac:dyDescent="0.3">
      <c r="A42" s="252">
        <v>41815</v>
      </c>
      <c r="B42" s="142">
        <v>3281</v>
      </c>
      <c r="C42" s="142" t="s">
        <v>1017</v>
      </c>
      <c r="D42" s="453">
        <v>6136.0777777777703</v>
      </c>
      <c r="E42" s="265" t="s">
        <v>810</v>
      </c>
      <c r="F42" s="265" t="s">
        <v>811</v>
      </c>
      <c r="G42" s="266" t="s">
        <v>812</v>
      </c>
      <c r="H42" s="265"/>
      <c r="I42" s="265"/>
    </row>
    <row r="43" spans="1:9" x14ac:dyDescent="0.3">
      <c r="A43" s="252">
        <v>41817</v>
      </c>
      <c r="B43" s="142">
        <v>3282</v>
      </c>
      <c r="C43" s="142" t="s">
        <v>1018</v>
      </c>
      <c r="D43" s="453">
        <v>783.08333333333303</v>
      </c>
      <c r="E43" s="265" t="s">
        <v>813</v>
      </c>
      <c r="F43" s="265" t="s">
        <v>814</v>
      </c>
      <c r="G43" s="265" t="s">
        <v>815</v>
      </c>
      <c r="H43" s="265" t="s">
        <v>816</v>
      </c>
      <c r="I43" s="265"/>
    </row>
    <row r="44" spans="1:9" x14ac:dyDescent="0.3">
      <c r="A44" s="252">
        <v>41820</v>
      </c>
      <c r="B44" s="142">
        <v>3283</v>
      </c>
      <c r="C44" s="142" t="s">
        <v>1019</v>
      </c>
      <c r="D44" s="453">
        <v>1200</v>
      </c>
      <c r="E44" s="265" t="s">
        <v>817</v>
      </c>
      <c r="F44" s="265" t="s">
        <v>818</v>
      </c>
      <c r="G44" s="265" t="s">
        <v>815</v>
      </c>
      <c r="H44" s="265" t="s">
        <v>819</v>
      </c>
      <c r="I44" s="265"/>
    </row>
    <row r="45" spans="1:9" x14ac:dyDescent="0.3">
      <c r="A45" s="252">
        <v>41823</v>
      </c>
      <c r="B45" s="142">
        <v>3284</v>
      </c>
      <c r="C45" s="142" t="s">
        <v>1017</v>
      </c>
      <c r="D45" s="453">
        <v>6479.4611111111099</v>
      </c>
      <c r="E45" s="265" t="s">
        <v>820</v>
      </c>
      <c r="F45" s="265"/>
      <c r="G45" s="265"/>
      <c r="H45" s="265"/>
      <c r="I45" s="265"/>
    </row>
    <row r="46" spans="1:9" x14ac:dyDescent="0.3">
      <c r="A46" s="252">
        <v>41825</v>
      </c>
      <c r="B46" s="142">
        <v>3285</v>
      </c>
      <c r="C46" s="142" t="s">
        <v>1017</v>
      </c>
      <c r="D46" s="453">
        <v>6822.8444444444403</v>
      </c>
      <c r="E46" s="265" t="s">
        <v>821</v>
      </c>
      <c r="F46" s="265"/>
      <c r="G46" s="265"/>
      <c r="H46" s="265"/>
      <c r="I46" s="265"/>
    </row>
    <row r="47" spans="1:9" x14ac:dyDescent="0.3">
      <c r="A47" s="252">
        <v>41827</v>
      </c>
      <c r="B47" s="142">
        <v>3286</v>
      </c>
      <c r="C47" s="142" t="s">
        <v>1018</v>
      </c>
      <c r="D47" s="453">
        <v>809.96666666666601</v>
      </c>
      <c r="E47" s="265" t="s">
        <v>822</v>
      </c>
      <c r="F47" s="265"/>
      <c r="G47" s="265"/>
      <c r="H47" s="265"/>
      <c r="I47" s="265"/>
    </row>
    <row r="48" spans="1:9" x14ac:dyDescent="0.3">
      <c r="A48" s="252">
        <v>41829</v>
      </c>
      <c r="B48" s="142">
        <v>3287</v>
      </c>
      <c r="C48" s="142" t="s">
        <v>1019</v>
      </c>
      <c r="D48" s="453">
        <v>600</v>
      </c>
      <c r="E48" s="265" t="s">
        <v>823</v>
      </c>
      <c r="F48" s="265" t="s">
        <v>824</v>
      </c>
      <c r="G48" s="265" t="s">
        <v>815</v>
      </c>
      <c r="H48" s="265" t="s">
        <v>825</v>
      </c>
      <c r="I48" s="265"/>
    </row>
    <row r="49" spans="1:9" x14ac:dyDescent="0.3">
      <c r="A49" s="252">
        <v>41832</v>
      </c>
      <c r="B49" s="142">
        <v>3288</v>
      </c>
      <c r="C49" s="142" t="s">
        <v>1017</v>
      </c>
      <c r="D49" s="453">
        <v>7166.2277777777699</v>
      </c>
      <c r="E49" s="265" t="s">
        <v>826</v>
      </c>
      <c r="F49" s="265"/>
      <c r="G49" s="265"/>
      <c r="H49" s="265"/>
      <c r="I49" s="265"/>
    </row>
    <row r="50" spans="1:9" x14ac:dyDescent="0.3">
      <c r="A50" s="252">
        <v>41835</v>
      </c>
      <c r="B50" s="142">
        <v>3289</v>
      </c>
      <c r="C50" s="142" t="s">
        <v>1017</v>
      </c>
      <c r="D50" s="453">
        <v>7509.6111111111104</v>
      </c>
      <c r="E50" s="265" t="s">
        <v>827</v>
      </c>
      <c r="F50" s="265"/>
      <c r="G50" s="265"/>
      <c r="H50" s="265"/>
      <c r="I50" s="265"/>
    </row>
    <row r="51" spans="1:9" x14ac:dyDescent="0.3">
      <c r="A51" s="252">
        <v>41838</v>
      </c>
      <c r="B51" s="142">
        <v>3290</v>
      </c>
      <c r="C51" s="142" t="s">
        <v>1018</v>
      </c>
      <c r="D51" s="453">
        <v>836.85</v>
      </c>
      <c r="E51" s="265" t="s">
        <v>828</v>
      </c>
      <c r="F51" s="265" t="s">
        <v>829</v>
      </c>
      <c r="G51" s="265" t="s">
        <v>830</v>
      </c>
      <c r="H51" s="265" t="s">
        <v>831</v>
      </c>
      <c r="I51" s="265" t="s">
        <v>832</v>
      </c>
    </row>
    <row r="52" spans="1:9" x14ac:dyDescent="0.3">
      <c r="A52" s="252">
        <v>41840</v>
      </c>
      <c r="B52" s="142">
        <v>3291</v>
      </c>
      <c r="C52" s="142" t="s">
        <v>1019</v>
      </c>
      <c r="D52" s="453">
        <v>600</v>
      </c>
      <c r="E52" s="265" t="s">
        <v>833</v>
      </c>
      <c r="F52" s="265" t="s">
        <v>834</v>
      </c>
      <c r="G52" s="265" t="s">
        <v>835</v>
      </c>
      <c r="H52" s="265"/>
      <c r="I52" s="265"/>
    </row>
    <row r="53" spans="1:9" x14ac:dyDescent="0.3">
      <c r="A53" s="252">
        <v>41841</v>
      </c>
      <c r="B53" s="142">
        <v>3292</v>
      </c>
      <c r="C53" s="142" t="s">
        <v>1017</v>
      </c>
      <c r="D53" s="453">
        <v>7852.99444444444</v>
      </c>
      <c r="E53" s="265" t="s">
        <v>836</v>
      </c>
      <c r="F53" s="265" t="s">
        <v>837</v>
      </c>
      <c r="G53" s="266" t="s">
        <v>838</v>
      </c>
      <c r="H53" s="265"/>
      <c r="I53" s="265"/>
    </row>
    <row r="54" spans="1:9" x14ac:dyDescent="0.3">
      <c r="A54" s="252">
        <v>41842</v>
      </c>
      <c r="B54" s="142">
        <v>3293</v>
      </c>
      <c r="C54" s="142" t="s">
        <v>1017</v>
      </c>
      <c r="D54" s="453">
        <v>8196.3777777777705</v>
      </c>
      <c r="E54" s="265" t="s">
        <v>839</v>
      </c>
      <c r="F54" s="265"/>
      <c r="G54" s="265"/>
      <c r="H54" s="265"/>
      <c r="I54" s="265"/>
    </row>
    <row r="55" spans="1:9" x14ac:dyDescent="0.3">
      <c r="A55" s="252">
        <v>41844</v>
      </c>
      <c r="B55" s="142">
        <v>3294</v>
      </c>
      <c r="C55" s="142" t="s">
        <v>1018</v>
      </c>
      <c r="D55" s="453">
        <v>863.73333333333301</v>
      </c>
      <c r="E55" s="265" t="s">
        <v>840</v>
      </c>
      <c r="F55" s="265"/>
      <c r="G55" s="265"/>
      <c r="H55" s="265"/>
      <c r="I55" s="265"/>
    </row>
    <row r="56" spans="1:9" x14ac:dyDescent="0.3">
      <c r="A56" s="252">
        <v>41846</v>
      </c>
      <c r="B56" s="142">
        <v>3295</v>
      </c>
      <c r="C56" s="142" t="s">
        <v>1019</v>
      </c>
      <c r="D56" s="453">
        <v>1200</v>
      </c>
      <c r="E56" s="265" t="s">
        <v>841</v>
      </c>
      <c r="F56" s="265"/>
      <c r="G56" s="265"/>
      <c r="H56" s="265"/>
      <c r="I56" s="265"/>
    </row>
    <row r="57" spans="1:9" x14ac:dyDescent="0.3">
      <c r="A57" s="252">
        <v>41847</v>
      </c>
      <c r="B57" s="142">
        <v>3296</v>
      </c>
      <c r="C57" s="142" t="s">
        <v>1017</v>
      </c>
      <c r="D57" s="453">
        <v>8539.7611111111091</v>
      </c>
      <c r="E57" s="265" t="s">
        <v>842</v>
      </c>
      <c r="F57" s="265"/>
      <c r="G57" s="265"/>
      <c r="H57" s="265"/>
      <c r="I57" s="265"/>
    </row>
    <row r="58" spans="1:9" x14ac:dyDescent="0.3">
      <c r="A58" s="252">
        <v>41850</v>
      </c>
      <c r="B58" s="142">
        <v>3297</v>
      </c>
      <c r="C58" s="142" t="s">
        <v>1017</v>
      </c>
      <c r="D58" s="453">
        <v>8883.1444444444405</v>
      </c>
      <c r="E58" s="265" t="s">
        <v>843</v>
      </c>
      <c r="F58" s="265"/>
      <c r="G58" s="265"/>
      <c r="H58" s="265"/>
      <c r="I58" s="265"/>
    </row>
    <row r="59" spans="1:9" x14ac:dyDescent="0.3">
      <c r="A59" s="252">
        <v>41851</v>
      </c>
      <c r="B59" s="142">
        <v>3298</v>
      </c>
      <c r="C59" s="142" t="s">
        <v>1018</v>
      </c>
      <c r="D59" s="453">
        <v>890.61666666666599</v>
      </c>
      <c r="E59" s="265" t="s">
        <v>844</v>
      </c>
      <c r="F59" s="265" t="s">
        <v>845</v>
      </c>
      <c r="G59" s="266" t="s">
        <v>846</v>
      </c>
      <c r="H59" s="265"/>
      <c r="I59" s="265"/>
    </row>
    <row r="60" spans="1:9" x14ac:dyDescent="0.3">
      <c r="A60" s="252">
        <v>41854</v>
      </c>
      <c r="B60" s="142">
        <v>3299</v>
      </c>
      <c r="C60" s="142" t="s">
        <v>1019</v>
      </c>
      <c r="D60" s="453">
        <v>1800</v>
      </c>
      <c r="E60" s="265" t="s">
        <v>847</v>
      </c>
      <c r="F60" s="265"/>
      <c r="G60" s="265"/>
      <c r="H60" s="265"/>
      <c r="I60" s="265"/>
    </row>
    <row r="61" spans="1:9" x14ac:dyDescent="0.3">
      <c r="A61" s="252">
        <v>41857</v>
      </c>
      <c r="B61" s="142">
        <v>3300</v>
      </c>
      <c r="C61" s="142" t="s">
        <v>1017</v>
      </c>
      <c r="D61" s="453">
        <v>9226.5277777777701</v>
      </c>
      <c r="E61" s="265" t="s">
        <v>848</v>
      </c>
      <c r="F61" s="265" t="s">
        <v>849</v>
      </c>
      <c r="G61" s="265" t="s">
        <v>850</v>
      </c>
      <c r="H61" s="265" t="s">
        <v>851</v>
      </c>
      <c r="I61" s="265"/>
    </row>
    <row r="62" spans="1:9" x14ac:dyDescent="0.3">
      <c r="A62" s="252">
        <v>41858</v>
      </c>
      <c r="B62" s="142">
        <v>3301</v>
      </c>
      <c r="C62" s="142" t="s">
        <v>1017</v>
      </c>
      <c r="D62" s="453">
        <v>9569.9111111111106</v>
      </c>
      <c r="E62" s="265" t="s">
        <v>852</v>
      </c>
      <c r="F62" s="265" t="s">
        <v>853</v>
      </c>
      <c r="G62" s="266" t="s">
        <v>854</v>
      </c>
      <c r="H62" s="266" t="s">
        <v>855</v>
      </c>
      <c r="I62" s="265" t="s">
        <v>856</v>
      </c>
    </row>
    <row r="63" spans="1:9" x14ac:dyDescent="0.3">
      <c r="A63" s="252">
        <v>41861</v>
      </c>
      <c r="B63" s="142">
        <v>3302</v>
      </c>
      <c r="C63" s="142" t="s">
        <v>1018</v>
      </c>
      <c r="D63" s="453">
        <v>917.5</v>
      </c>
      <c r="E63" s="265" t="s">
        <v>857</v>
      </c>
      <c r="F63" s="265"/>
      <c r="G63" s="265"/>
      <c r="H63" s="265"/>
      <c r="I63" s="265"/>
    </row>
    <row r="64" spans="1:9" x14ac:dyDescent="0.3">
      <c r="A64" s="252">
        <v>41862</v>
      </c>
      <c r="B64" s="142">
        <v>3303</v>
      </c>
      <c r="C64" s="142" t="s">
        <v>1019</v>
      </c>
      <c r="D64" s="453">
        <v>600</v>
      </c>
      <c r="E64" s="265" t="s">
        <v>858</v>
      </c>
      <c r="F64" s="265"/>
      <c r="G64" s="265"/>
      <c r="H64" s="265"/>
      <c r="I64" s="265"/>
    </row>
    <row r="65" spans="1:9" x14ac:dyDescent="0.3">
      <c r="A65" s="252">
        <v>41864</v>
      </c>
      <c r="B65" s="142">
        <v>3304</v>
      </c>
      <c r="C65" s="142" t="s">
        <v>1017</v>
      </c>
      <c r="D65" s="453">
        <v>9913.2944444444402</v>
      </c>
      <c r="E65" s="265" t="s">
        <v>859</v>
      </c>
      <c r="F65" s="265" t="s">
        <v>860</v>
      </c>
      <c r="G65" s="265" t="s">
        <v>861</v>
      </c>
      <c r="H65" s="265"/>
      <c r="I65" s="265"/>
    </row>
    <row r="66" spans="1:9" x14ac:dyDescent="0.3">
      <c r="A66" s="252">
        <v>41866</v>
      </c>
      <c r="B66" s="142">
        <v>3305</v>
      </c>
      <c r="C66" s="142" t="s">
        <v>1017</v>
      </c>
      <c r="D66" s="453">
        <v>10256.677777777801</v>
      </c>
      <c r="E66" s="265" t="s">
        <v>862</v>
      </c>
      <c r="F66" s="265" t="s">
        <v>863</v>
      </c>
      <c r="G66" s="265" t="s">
        <v>754</v>
      </c>
      <c r="H66" s="265"/>
      <c r="I66" s="265"/>
    </row>
    <row r="67" spans="1:9" x14ac:dyDescent="0.3">
      <c r="A67" s="252">
        <v>41869</v>
      </c>
      <c r="B67" s="142">
        <v>3306</v>
      </c>
      <c r="C67" s="142" t="s">
        <v>1018</v>
      </c>
      <c r="D67" s="453">
        <v>944.38333333333298</v>
      </c>
      <c r="E67" s="265" t="s">
        <v>864</v>
      </c>
      <c r="F67" s="265" t="s">
        <v>865</v>
      </c>
      <c r="G67" s="265" t="s">
        <v>815</v>
      </c>
      <c r="H67" s="265" t="s">
        <v>866</v>
      </c>
      <c r="I67" s="265" t="s">
        <v>867</v>
      </c>
    </row>
    <row r="68" spans="1:9" x14ac:dyDescent="0.3">
      <c r="A68" s="252">
        <v>41870</v>
      </c>
      <c r="B68" s="142">
        <v>3307</v>
      </c>
      <c r="C68" s="142" t="s">
        <v>1019</v>
      </c>
      <c r="D68" s="453">
        <v>600</v>
      </c>
      <c r="E68" s="265" t="s">
        <v>868</v>
      </c>
      <c r="F68" s="265" t="s">
        <v>869</v>
      </c>
      <c r="G68" s="266" t="s">
        <v>776</v>
      </c>
      <c r="H68" s="265" t="s">
        <v>870</v>
      </c>
      <c r="I68" s="265" t="s">
        <v>871</v>
      </c>
    </row>
    <row r="69" spans="1:9" x14ac:dyDescent="0.3">
      <c r="A69" s="252">
        <v>41871</v>
      </c>
      <c r="B69" s="142">
        <v>3308</v>
      </c>
      <c r="C69" s="142" t="s">
        <v>1017</v>
      </c>
      <c r="D69" s="453">
        <v>10600.061111111099</v>
      </c>
      <c r="E69" s="265" t="s">
        <v>872</v>
      </c>
      <c r="F69" s="265"/>
      <c r="G69" s="265"/>
      <c r="H69" s="265"/>
      <c r="I69" s="265"/>
    </row>
    <row r="70" spans="1:9" x14ac:dyDescent="0.3">
      <c r="A70" s="252">
        <v>41873</v>
      </c>
      <c r="B70" s="142">
        <v>3309</v>
      </c>
      <c r="C70" s="142" t="s">
        <v>1017</v>
      </c>
      <c r="D70" s="453">
        <v>10943.4444444444</v>
      </c>
      <c r="E70" s="265" t="s">
        <v>873</v>
      </c>
      <c r="F70" s="265"/>
      <c r="G70" s="265"/>
      <c r="H70" s="265"/>
      <c r="I70" s="265"/>
    </row>
    <row r="71" spans="1:9" x14ac:dyDescent="0.3">
      <c r="A71" s="252">
        <v>41875</v>
      </c>
      <c r="B71" s="142">
        <v>3310</v>
      </c>
      <c r="C71" s="142" t="s">
        <v>1018</v>
      </c>
      <c r="D71" s="453">
        <v>971.26666666666597</v>
      </c>
      <c r="E71" s="265" t="s">
        <v>874</v>
      </c>
      <c r="F71" s="265" t="s">
        <v>875</v>
      </c>
      <c r="G71" s="265" t="s">
        <v>729</v>
      </c>
      <c r="H71" s="265" t="s">
        <v>876</v>
      </c>
      <c r="I71" s="265" t="s">
        <v>877</v>
      </c>
    </row>
    <row r="72" spans="1:9" x14ac:dyDescent="0.3">
      <c r="A72" s="252">
        <v>41877</v>
      </c>
      <c r="B72" s="142">
        <v>3311</v>
      </c>
      <c r="C72" s="142" t="s">
        <v>1019</v>
      </c>
      <c r="D72" s="453">
        <v>600</v>
      </c>
      <c r="E72" s="265" t="s">
        <v>878</v>
      </c>
      <c r="F72" s="265" t="s">
        <v>879</v>
      </c>
      <c r="G72" s="265" t="s">
        <v>880</v>
      </c>
      <c r="H72" s="265" t="s">
        <v>881</v>
      </c>
      <c r="I72" s="265" t="s">
        <v>882</v>
      </c>
    </row>
    <row r="73" spans="1:9" x14ac:dyDescent="0.3">
      <c r="A73" s="252">
        <v>41880</v>
      </c>
      <c r="B73" s="142">
        <v>3312</v>
      </c>
      <c r="C73" s="142" t="s">
        <v>1017</v>
      </c>
      <c r="D73" s="453">
        <v>8866</v>
      </c>
      <c r="E73" s="265" t="s">
        <v>883</v>
      </c>
      <c r="F73" s="265" t="s">
        <v>884</v>
      </c>
      <c r="G73" s="265" t="s">
        <v>885</v>
      </c>
      <c r="H73" s="265" t="s">
        <v>886</v>
      </c>
      <c r="I73" s="265" t="s">
        <v>887</v>
      </c>
    </row>
    <row r="74" spans="1:9" x14ac:dyDescent="0.3">
      <c r="A74" s="252">
        <v>41881</v>
      </c>
      <c r="B74" s="142">
        <v>3313</v>
      </c>
      <c r="C74" s="142" t="s">
        <v>1017</v>
      </c>
      <c r="D74" s="453">
        <v>8777</v>
      </c>
      <c r="E74" s="265" t="s">
        <v>888</v>
      </c>
      <c r="F74" s="265"/>
      <c r="G74" s="265"/>
      <c r="H74" s="265"/>
      <c r="I74" s="265"/>
    </row>
    <row r="75" spans="1:9" x14ac:dyDescent="0.3">
      <c r="A75" s="252">
        <v>41884</v>
      </c>
      <c r="B75" s="142">
        <v>3314</v>
      </c>
      <c r="C75" s="142" t="s">
        <v>1018</v>
      </c>
      <c r="D75" s="453">
        <v>998.15</v>
      </c>
      <c r="E75" s="265" t="s">
        <v>889</v>
      </c>
      <c r="F75" s="265" t="s">
        <v>890</v>
      </c>
      <c r="G75" s="265" t="s">
        <v>891</v>
      </c>
      <c r="H75" s="265" t="s">
        <v>892</v>
      </c>
      <c r="I75" s="265" t="s">
        <v>893</v>
      </c>
    </row>
    <row r="76" spans="1:9" x14ac:dyDescent="0.3">
      <c r="A76" s="252">
        <v>41886</v>
      </c>
      <c r="B76" s="142">
        <v>3315</v>
      </c>
      <c r="C76" s="142" t="s">
        <v>1019</v>
      </c>
      <c r="D76" s="453">
        <v>1200</v>
      </c>
      <c r="E76" s="265" t="s">
        <v>894</v>
      </c>
      <c r="F76" s="265"/>
      <c r="G76" s="265"/>
      <c r="H76" s="265"/>
      <c r="I76" s="265"/>
    </row>
    <row r="77" spans="1:9" x14ac:dyDescent="0.3">
      <c r="A77" s="252">
        <v>41889</v>
      </c>
      <c r="B77" s="142">
        <v>3316</v>
      </c>
      <c r="C77" s="142" t="s">
        <v>1017</v>
      </c>
      <c r="D77" s="453">
        <v>7687</v>
      </c>
      <c r="E77" s="265" t="s">
        <v>895</v>
      </c>
      <c r="F77" s="265" t="s">
        <v>896</v>
      </c>
      <c r="G77" s="265"/>
      <c r="H77" s="265" t="s">
        <v>897</v>
      </c>
      <c r="I77" s="265"/>
    </row>
    <row r="78" spans="1:9" x14ac:dyDescent="0.3">
      <c r="A78" s="252">
        <v>41891</v>
      </c>
      <c r="B78" s="142">
        <v>3317</v>
      </c>
      <c r="C78" s="142" t="s">
        <v>1017</v>
      </c>
      <c r="D78" s="453">
        <v>7482.1955555555396</v>
      </c>
      <c r="E78" s="265" t="s">
        <v>898</v>
      </c>
      <c r="F78" s="265" t="s">
        <v>899</v>
      </c>
      <c r="G78" s="265" t="s">
        <v>850</v>
      </c>
      <c r="H78" s="265" t="s">
        <v>900</v>
      </c>
      <c r="I78" s="265" t="s">
        <v>901</v>
      </c>
    </row>
    <row r="79" spans="1:9" x14ac:dyDescent="0.3">
      <c r="A79" s="252">
        <v>41892</v>
      </c>
      <c r="B79" s="142">
        <v>3318</v>
      </c>
      <c r="C79" s="142" t="s">
        <v>1018</v>
      </c>
      <c r="D79" s="453">
        <v>1025.0333333333299</v>
      </c>
      <c r="E79" s="265" t="s">
        <v>902</v>
      </c>
      <c r="F79" s="265"/>
      <c r="G79" s="265"/>
      <c r="H79" s="265"/>
      <c r="I79" s="265"/>
    </row>
    <row r="80" spans="1:9" x14ac:dyDescent="0.3">
      <c r="A80" s="252">
        <v>41894</v>
      </c>
      <c r="B80" s="142">
        <v>3319</v>
      </c>
      <c r="C80" s="142" t="s">
        <v>1019</v>
      </c>
      <c r="D80" s="453">
        <v>600</v>
      </c>
      <c r="E80" s="265" t="s">
        <v>903</v>
      </c>
      <c r="F80" s="265" t="s">
        <v>904</v>
      </c>
      <c r="G80" s="265" t="s">
        <v>815</v>
      </c>
      <c r="H80" s="265" t="s">
        <v>905</v>
      </c>
      <c r="I80" s="265" t="s">
        <v>906</v>
      </c>
    </row>
    <row r="81" spans="1:9" x14ac:dyDescent="0.3">
      <c r="A81" s="252">
        <v>41896</v>
      </c>
      <c r="B81" s="142">
        <v>3320</v>
      </c>
      <c r="C81" s="142" t="s">
        <v>1017</v>
      </c>
      <c r="D81" s="453">
        <v>6899.4807936507796</v>
      </c>
      <c r="E81" s="265" t="s">
        <v>907</v>
      </c>
      <c r="F81" s="265" t="s">
        <v>908</v>
      </c>
      <c r="G81" s="266" t="s">
        <v>909</v>
      </c>
      <c r="H81" s="265" t="s">
        <v>910</v>
      </c>
      <c r="I81" s="265"/>
    </row>
    <row r="82" spans="1:9" x14ac:dyDescent="0.3">
      <c r="A82" s="252">
        <v>41897</v>
      </c>
      <c r="B82" s="142">
        <v>3321</v>
      </c>
      <c r="C82" s="142" t="s">
        <v>1017</v>
      </c>
      <c r="D82" s="453">
        <v>6316.7660317460204</v>
      </c>
      <c r="E82" s="265" t="s">
        <v>911</v>
      </c>
      <c r="F82" s="265"/>
      <c r="G82" s="265"/>
      <c r="H82" s="265"/>
      <c r="I82" s="265"/>
    </row>
    <row r="83" spans="1:9" x14ac:dyDescent="0.3">
      <c r="A83" s="252">
        <v>41900</v>
      </c>
      <c r="B83" s="142">
        <v>3322</v>
      </c>
      <c r="C83" s="142" t="s">
        <v>1018</v>
      </c>
      <c r="D83" s="453">
        <v>1051.9166666666699</v>
      </c>
      <c r="E83" s="265" t="s">
        <v>912</v>
      </c>
      <c r="F83" s="265" t="s">
        <v>913</v>
      </c>
      <c r="G83" s="265" t="s">
        <v>914</v>
      </c>
      <c r="H83" s="265" t="s">
        <v>915</v>
      </c>
      <c r="I83" s="265" t="s">
        <v>916</v>
      </c>
    </row>
    <row r="84" spans="1:9" x14ac:dyDescent="0.3">
      <c r="A84" s="252">
        <v>41902</v>
      </c>
      <c r="B84" s="142">
        <v>3323</v>
      </c>
      <c r="C84" s="142" t="s">
        <v>1019</v>
      </c>
      <c r="D84" s="453">
        <v>600</v>
      </c>
      <c r="E84" s="265" t="s">
        <v>917</v>
      </c>
      <c r="F84" s="265" t="s">
        <v>918</v>
      </c>
      <c r="G84" s="266" t="s">
        <v>919</v>
      </c>
      <c r="H84" s="265"/>
      <c r="I84" s="265"/>
    </row>
    <row r="85" spans="1:9" x14ac:dyDescent="0.3">
      <c r="A85" s="252">
        <v>41904</v>
      </c>
      <c r="B85" s="142">
        <v>3324</v>
      </c>
      <c r="C85" s="142" t="s">
        <v>1017</v>
      </c>
      <c r="D85" s="453">
        <v>5734.0512698412504</v>
      </c>
      <c r="E85" s="265" t="s">
        <v>920</v>
      </c>
      <c r="F85" s="265" t="s">
        <v>921</v>
      </c>
      <c r="G85" s="265" t="s">
        <v>850</v>
      </c>
      <c r="H85" s="265" t="s">
        <v>922</v>
      </c>
      <c r="I85" s="265"/>
    </row>
    <row r="86" spans="1:9" x14ac:dyDescent="0.3">
      <c r="A86" s="252">
        <v>41907</v>
      </c>
      <c r="B86" s="142">
        <v>3325</v>
      </c>
      <c r="C86" s="142" t="s">
        <v>1017</v>
      </c>
      <c r="D86" s="453">
        <v>5151.3365079364903</v>
      </c>
      <c r="E86" s="265" t="s">
        <v>923</v>
      </c>
      <c r="F86" s="265" t="s">
        <v>924</v>
      </c>
      <c r="G86" s="265" t="s">
        <v>925</v>
      </c>
      <c r="H86" s="265" t="s">
        <v>926</v>
      </c>
      <c r="I86" s="265"/>
    </row>
    <row r="87" spans="1:9" x14ac:dyDescent="0.3">
      <c r="A87" s="252">
        <v>41908</v>
      </c>
      <c r="B87" s="142">
        <v>3326</v>
      </c>
      <c r="C87" s="142" t="s">
        <v>1018</v>
      </c>
      <c r="D87" s="453">
        <v>1078.8</v>
      </c>
      <c r="E87" s="265" t="s">
        <v>927</v>
      </c>
      <c r="F87" s="265" t="s">
        <v>928</v>
      </c>
      <c r="G87" s="265" t="s">
        <v>754</v>
      </c>
      <c r="H87" s="265"/>
      <c r="I87" s="265"/>
    </row>
    <row r="88" spans="1:9" x14ac:dyDescent="0.3">
      <c r="A88" s="252">
        <v>41910</v>
      </c>
      <c r="B88" s="142">
        <v>3327</v>
      </c>
      <c r="C88" s="142" t="s">
        <v>1019</v>
      </c>
      <c r="D88" s="453">
        <v>1200</v>
      </c>
      <c r="E88" s="265" t="s">
        <v>929</v>
      </c>
      <c r="F88" s="265"/>
      <c r="G88" s="265"/>
      <c r="H88" s="265"/>
      <c r="I88" s="265"/>
    </row>
    <row r="89" spans="1:9" x14ac:dyDescent="0.3">
      <c r="A89" s="252">
        <v>41911</v>
      </c>
      <c r="B89" s="142">
        <v>3328</v>
      </c>
      <c r="C89" s="142" t="s">
        <v>1017</v>
      </c>
      <c r="D89" s="453">
        <v>4568.6217460317303</v>
      </c>
      <c r="E89" s="265" t="s">
        <v>930</v>
      </c>
      <c r="F89" s="265" t="s">
        <v>931</v>
      </c>
      <c r="G89" s="265" t="s">
        <v>815</v>
      </c>
      <c r="H89" s="265" t="s">
        <v>932</v>
      </c>
      <c r="I89" s="265"/>
    </row>
    <row r="90" spans="1:9" x14ac:dyDescent="0.3">
      <c r="A90" s="252">
        <v>41913</v>
      </c>
      <c r="B90" s="142">
        <v>3329</v>
      </c>
      <c r="C90" s="142" t="s">
        <v>1017</v>
      </c>
      <c r="D90" s="453">
        <v>3985.9069841269602</v>
      </c>
      <c r="E90" s="265" t="s">
        <v>933</v>
      </c>
      <c r="F90" s="265"/>
      <c r="G90" s="265" t="s">
        <v>934</v>
      </c>
      <c r="H90" s="265"/>
      <c r="I90" s="265" t="s">
        <v>935</v>
      </c>
    </row>
    <row r="91" spans="1:9" x14ac:dyDescent="0.3">
      <c r="A91" s="252">
        <v>41914</v>
      </c>
      <c r="B91" s="142">
        <v>3330</v>
      </c>
      <c r="C91" s="142" t="s">
        <v>1018</v>
      </c>
      <c r="D91" s="453">
        <v>1105.68333333333</v>
      </c>
      <c r="E91" s="265" t="s">
        <v>936</v>
      </c>
      <c r="F91" s="265" t="s">
        <v>937</v>
      </c>
      <c r="G91" s="265" t="s">
        <v>776</v>
      </c>
      <c r="H91" s="265"/>
      <c r="I91" s="265"/>
    </row>
    <row r="92" spans="1:9" x14ac:dyDescent="0.3">
      <c r="A92" s="252">
        <v>41915</v>
      </c>
      <c r="B92" s="142">
        <v>3331</v>
      </c>
      <c r="C92" s="142" t="s">
        <v>1019</v>
      </c>
      <c r="D92" s="453">
        <v>1800</v>
      </c>
      <c r="E92" s="265" t="s">
        <v>938</v>
      </c>
      <c r="F92" s="265" t="s">
        <v>939</v>
      </c>
      <c r="G92" s="265" t="s">
        <v>940</v>
      </c>
      <c r="H92" s="265" t="s">
        <v>941</v>
      </c>
      <c r="I92" s="265" t="s">
        <v>942</v>
      </c>
    </row>
    <row r="93" spans="1:9" x14ac:dyDescent="0.3">
      <c r="A93" s="252">
        <v>41916</v>
      </c>
      <c r="B93" s="142">
        <v>3332</v>
      </c>
      <c r="C93" s="142" t="s">
        <v>1017</v>
      </c>
      <c r="D93" s="453">
        <v>3403.1922222222001</v>
      </c>
      <c r="E93" s="265" t="s">
        <v>944</v>
      </c>
      <c r="F93" s="265" t="s">
        <v>945</v>
      </c>
      <c r="G93" s="265" t="s">
        <v>776</v>
      </c>
      <c r="H93" s="265" t="s">
        <v>946</v>
      </c>
      <c r="I93" s="265"/>
    </row>
    <row r="94" spans="1:9" x14ac:dyDescent="0.3">
      <c r="A94" s="252">
        <v>41919</v>
      </c>
      <c r="B94" s="142">
        <v>3333</v>
      </c>
      <c r="C94" s="142" t="s">
        <v>1017</v>
      </c>
      <c r="D94" s="453">
        <v>2820.4774603174401</v>
      </c>
      <c r="E94" s="265" t="s">
        <v>947</v>
      </c>
      <c r="F94" s="265" t="s">
        <v>948</v>
      </c>
      <c r="G94" s="265" t="s">
        <v>949</v>
      </c>
      <c r="H94" s="265" t="s">
        <v>950</v>
      </c>
      <c r="I94" s="265"/>
    </row>
    <row r="95" spans="1:9" x14ac:dyDescent="0.3">
      <c r="A95" s="252">
        <v>41921</v>
      </c>
      <c r="B95" s="142">
        <v>3334</v>
      </c>
      <c r="C95" s="142" t="s">
        <v>1018</v>
      </c>
      <c r="D95" s="453">
        <v>1132.56666666667</v>
      </c>
      <c r="E95" s="265" t="s">
        <v>951</v>
      </c>
      <c r="F95" s="265"/>
      <c r="G95" s="265"/>
      <c r="H95" s="265"/>
      <c r="I95" s="265"/>
    </row>
    <row r="96" spans="1:9" x14ac:dyDescent="0.3">
      <c r="A96" s="252">
        <v>41924</v>
      </c>
      <c r="B96" s="142">
        <v>3335</v>
      </c>
      <c r="C96" s="142" t="s">
        <v>1019</v>
      </c>
      <c r="D96" s="453">
        <v>600</v>
      </c>
      <c r="E96" s="265" t="s">
        <v>952</v>
      </c>
      <c r="F96" s="265"/>
      <c r="G96" s="265"/>
      <c r="H96" s="265"/>
      <c r="I96" s="265"/>
    </row>
    <row r="97" spans="1:9" x14ac:dyDescent="0.3">
      <c r="A97" s="252">
        <v>41925</v>
      </c>
      <c r="B97" s="142">
        <v>3336</v>
      </c>
      <c r="C97" s="142" t="s">
        <v>1017</v>
      </c>
      <c r="D97" s="453">
        <v>2237.76269841268</v>
      </c>
      <c r="E97" s="265" t="s">
        <v>953</v>
      </c>
      <c r="F97" s="265"/>
      <c r="G97" s="265"/>
      <c r="H97" s="265"/>
      <c r="I97" s="265"/>
    </row>
    <row r="98" spans="1:9" x14ac:dyDescent="0.3">
      <c r="A98" s="252">
        <v>41928</v>
      </c>
      <c r="B98" s="142">
        <v>3337</v>
      </c>
      <c r="C98" s="142" t="s">
        <v>1017</v>
      </c>
      <c r="D98" s="453">
        <v>1655.04793650791</v>
      </c>
      <c r="E98" s="265" t="s">
        <v>954</v>
      </c>
      <c r="F98" s="265"/>
      <c r="G98" s="265"/>
      <c r="H98" s="265"/>
      <c r="I98" s="265"/>
    </row>
    <row r="99" spans="1:9" x14ac:dyDescent="0.3">
      <c r="A99" s="252">
        <v>41931</v>
      </c>
      <c r="B99" s="142">
        <v>3338</v>
      </c>
      <c r="C99" s="142" t="s">
        <v>1018</v>
      </c>
      <c r="D99" s="453">
        <v>1159.45</v>
      </c>
      <c r="E99" s="265" t="s">
        <v>955</v>
      </c>
      <c r="F99" s="265"/>
      <c r="G99" s="265"/>
      <c r="H99" s="265"/>
      <c r="I99" s="265"/>
    </row>
    <row r="100" spans="1:9" x14ac:dyDescent="0.3">
      <c r="A100" s="252">
        <v>41932</v>
      </c>
      <c r="B100" s="142">
        <v>3339</v>
      </c>
      <c r="C100" s="142" t="s">
        <v>1019</v>
      </c>
      <c r="D100" s="453">
        <v>600</v>
      </c>
      <c r="E100" s="265" t="s">
        <v>956</v>
      </c>
      <c r="F100" s="266" t="s">
        <v>957</v>
      </c>
      <c r="G100" s="265" t="s">
        <v>776</v>
      </c>
      <c r="H100" s="265" t="s">
        <v>958</v>
      </c>
      <c r="I100" s="265" t="s">
        <v>959</v>
      </c>
    </row>
    <row r="101" spans="1:9" x14ac:dyDescent="0.3">
      <c r="A101" s="252">
        <v>41934</v>
      </c>
      <c r="B101" s="142">
        <v>3340</v>
      </c>
      <c r="C101" s="142" t="s">
        <v>1017</v>
      </c>
      <c r="D101" s="453">
        <v>1072.3331746031499</v>
      </c>
      <c r="E101" s="265" t="s">
        <v>960</v>
      </c>
      <c r="F101" s="265"/>
      <c r="G101" s="265"/>
      <c r="H101" s="265"/>
      <c r="I101" s="265"/>
    </row>
    <row r="102" spans="1:9" x14ac:dyDescent="0.3">
      <c r="A102" s="252">
        <v>41937</v>
      </c>
      <c r="B102" s="142">
        <v>3341</v>
      </c>
      <c r="C102" s="142" t="s">
        <v>1017</v>
      </c>
      <c r="D102" s="453">
        <v>489.61841269842398</v>
      </c>
      <c r="E102" s="265" t="s">
        <v>961</v>
      </c>
      <c r="F102" s="265" t="s">
        <v>962</v>
      </c>
      <c r="G102" s="266" t="s">
        <v>963</v>
      </c>
      <c r="H102" s="265"/>
      <c r="I102" s="265"/>
    </row>
    <row r="103" spans="1:9" x14ac:dyDescent="0.3">
      <c r="A103" s="252">
        <v>41938</v>
      </c>
      <c r="B103" s="142">
        <v>3342</v>
      </c>
      <c r="C103" s="142" t="s">
        <v>1018</v>
      </c>
      <c r="D103" s="453">
        <v>1186.3333333333301</v>
      </c>
      <c r="E103" s="265" t="s">
        <v>964</v>
      </c>
      <c r="F103" s="265"/>
      <c r="G103" s="265"/>
      <c r="H103" s="265"/>
      <c r="I103" s="265"/>
    </row>
    <row r="104" spans="1:9" x14ac:dyDescent="0.3">
      <c r="A104" s="252">
        <v>41940</v>
      </c>
      <c r="B104" s="142">
        <v>3343</v>
      </c>
      <c r="C104" s="142" t="s">
        <v>1019</v>
      </c>
      <c r="D104" s="453">
        <v>600</v>
      </c>
      <c r="E104" s="265" t="s">
        <v>965</v>
      </c>
      <c r="F104" s="265" t="s">
        <v>966</v>
      </c>
      <c r="G104" s="265" t="s">
        <v>850</v>
      </c>
      <c r="H104" s="265" t="s">
        <v>967</v>
      </c>
      <c r="I104" s="265" t="s">
        <v>968</v>
      </c>
    </row>
    <row r="105" spans="1:9" x14ac:dyDescent="0.3">
      <c r="A105" s="252">
        <v>41941</v>
      </c>
      <c r="B105" s="142">
        <v>3344</v>
      </c>
      <c r="C105" s="142" t="s">
        <v>1017</v>
      </c>
      <c r="D105" s="453">
        <v>4356</v>
      </c>
      <c r="E105" s="265" t="s">
        <v>969</v>
      </c>
      <c r="F105" s="265" t="s">
        <v>970</v>
      </c>
      <c r="G105" s="265" t="s">
        <v>971</v>
      </c>
      <c r="H105" s="265"/>
      <c r="I105" s="265"/>
    </row>
    <row r="106" spans="1:9" x14ac:dyDescent="0.3">
      <c r="A106" s="252">
        <v>41943</v>
      </c>
      <c r="B106" s="142">
        <v>3345</v>
      </c>
      <c r="C106" s="142" t="s">
        <v>1017</v>
      </c>
      <c r="D106" s="453">
        <v>2883.46596825398</v>
      </c>
      <c r="E106" s="265" t="s">
        <v>972</v>
      </c>
      <c r="F106" s="265"/>
      <c r="G106" s="265"/>
      <c r="H106" s="265"/>
      <c r="I106" s="265"/>
    </row>
    <row r="107" spans="1:9" x14ac:dyDescent="0.3">
      <c r="A107" s="252">
        <v>41946</v>
      </c>
      <c r="B107" s="142">
        <v>3346</v>
      </c>
      <c r="C107" s="142" t="s">
        <v>1018</v>
      </c>
      <c r="D107" s="453">
        <v>1213.2166666666701</v>
      </c>
      <c r="E107" s="265" t="s">
        <v>973</v>
      </c>
      <c r="F107" s="265" t="s">
        <v>974</v>
      </c>
      <c r="G107" s="266" t="s">
        <v>975</v>
      </c>
      <c r="H107" s="265"/>
      <c r="I107" s="265"/>
    </row>
    <row r="108" spans="1:9" x14ac:dyDescent="0.3">
      <c r="A108" s="252">
        <v>41948</v>
      </c>
      <c r="B108" s="142">
        <v>3347</v>
      </c>
      <c r="C108" s="142" t="s">
        <v>1019</v>
      </c>
      <c r="D108" s="453">
        <v>1200</v>
      </c>
      <c r="E108" s="265" t="s">
        <v>976</v>
      </c>
      <c r="F108" s="265" t="s">
        <v>977</v>
      </c>
      <c r="G108" s="265" t="s">
        <v>978</v>
      </c>
      <c r="H108" s="265"/>
      <c r="I108" s="265"/>
    </row>
    <row r="109" spans="1:9" x14ac:dyDescent="0.3">
      <c r="A109" s="252">
        <v>41951</v>
      </c>
      <c r="B109" s="142">
        <v>3348</v>
      </c>
      <c r="C109" s="142" t="s">
        <v>1017</v>
      </c>
      <c r="D109" s="453">
        <v>3190.5704761904899</v>
      </c>
      <c r="E109" s="265" t="s">
        <v>979</v>
      </c>
      <c r="F109" s="265" t="s">
        <v>980</v>
      </c>
      <c r="G109" s="265" t="s">
        <v>981</v>
      </c>
      <c r="H109" s="265"/>
      <c r="I109" s="265"/>
    </row>
    <row r="110" spans="1:9" x14ac:dyDescent="0.3">
      <c r="A110" s="252">
        <v>41952</v>
      </c>
      <c r="B110" s="142">
        <v>3349</v>
      </c>
      <c r="C110" s="142" t="s">
        <v>1017</v>
      </c>
      <c r="D110" s="453">
        <v>3497.6749841270098</v>
      </c>
      <c r="E110" s="265" t="s">
        <v>982</v>
      </c>
      <c r="F110" s="265"/>
      <c r="G110" s="265"/>
      <c r="H110" s="265"/>
      <c r="I110" s="265"/>
    </row>
    <row r="111" spans="1:9" x14ac:dyDescent="0.3">
      <c r="A111" s="252">
        <v>41955</v>
      </c>
      <c r="B111" s="142">
        <v>3350</v>
      </c>
      <c r="C111" s="142" t="s">
        <v>1018</v>
      </c>
      <c r="D111" s="453">
        <v>1240.0999999999999</v>
      </c>
      <c r="E111" s="265" t="s">
        <v>983</v>
      </c>
      <c r="F111" s="265"/>
      <c r="G111" s="265" t="s">
        <v>984</v>
      </c>
      <c r="H111" s="265" t="s">
        <v>985</v>
      </c>
      <c r="I111" s="265" t="s">
        <v>986</v>
      </c>
    </row>
    <row r="112" spans="1:9" x14ac:dyDescent="0.3">
      <c r="A112" s="252">
        <v>41958</v>
      </c>
      <c r="B112" s="142">
        <v>3351</v>
      </c>
      <c r="C112" s="142" t="s">
        <v>1019</v>
      </c>
      <c r="D112" s="453">
        <v>600</v>
      </c>
      <c r="E112" s="265" t="s">
        <v>987</v>
      </c>
      <c r="F112" s="265" t="s">
        <v>988</v>
      </c>
      <c r="G112" s="265" t="s">
        <v>989</v>
      </c>
      <c r="H112" s="265" t="s">
        <v>990</v>
      </c>
      <c r="I112" s="265" t="s">
        <v>991</v>
      </c>
    </row>
    <row r="113" spans="1:9" x14ac:dyDescent="0.3">
      <c r="A113" s="252">
        <v>41959</v>
      </c>
      <c r="B113" s="142">
        <v>3352</v>
      </c>
      <c r="C113" s="142" t="s">
        <v>1017</v>
      </c>
      <c r="D113" s="453">
        <v>3804.7794920635201</v>
      </c>
      <c r="E113" s="265" t="s">
        <v>992</v>
      </c>
      <c r="F113" s="265" t="s">
        <v>993</v>
      </c>
      <c r="G113" s="265" t="s">
        <v>994</v>
      </c>
      <c r="H113" s="265" t="s">
        <v>995</v>
      </c>
      <c r="I113" s="265"/>
    </row>
    <row r="114" spans="1:9" x14ac:dyDescent="0.3">
      <c r="A114" s="252">
        <v>41962</v>
      </c>
      <c r="B114" s="142">
        <v>3353</v>
      </c>
      <c r="C114" s="142" t="s">
        <v>1017</v>
      </c>
      <c r="D114" s="453">
        <v>4111.88400000004</v>
      </c>
      <c r="E114" s="265" t="s">
        <v>996</v>
      </c>
      <c r="F114" s="265"/>
      <c r="G114" s="265"/>
      <c r="H114" s="265"/>
      <c r="I114" s="265"/>
    </row>
    <row r="115" spans="1:9" x14ac:dyDescent="0.3">
      <c r="A115" s="252">
        <v>41963</v>
      </c>
      <c r="B115" s="142">
        <v>3354</v>
      </c>
      <c r="C115" s="142" t="s">
        <v>1018</v>
      </c>
      <c r="D115" s="453">
        <v>1266.9833333333299</v>
      </c>
      <c r="E115" s="265" t="s">
        <v>997</v>
      </c>
      <c r="F115" s="265" t="s">
        <v>998</v>
      </c>
      <c r="G115" s="266" t="s">
        <v>999</v>
      </c>
      <c r="H115" s="265"/>
      <c r="I115" s="265"/>
    </row>
    <row r="116" spans="1:9" x14ac:dyDescent="0.3">
      <c r="A116" s="252">
        <v>41965</v>
      </c>
      <c r="B116" s="142">
        <v>3355</v>
      </c>
      <c r="C116" s="142" t="s">
        <v>1019</v>
      </c>
      <c r="D116" s="453">
        <v>600</v>
      </c>
      <c r="E116" s="265" t="s">
        <v>1000</v>
      </c>
      <c r="F116" s="265" t="s">
        <v>1001</v>
      </c>
      <c r="G116" s="265" t="s">
        <v>754</v>
      </c>
      <c r="H116" s="265"/>
      <c r="I116" s="265"/>
    </row>
    <row r="117" spans="1:9" x14ac:dyDescent="0.3">
      <c r="A117" s="252">
        <v>41966</v>
      </c>
      <c r="B117" s="142">
        <v>3356</v>
      </c>
      <c r="C117" s="142" t="s">
        <v>1017</v>
      </c>
      <c r="D117" s="453">
        <v>4418.9885079365504</v>
      </c>
      <c r="E117" s="265" t="s">
        <v>1002</v>
      </c>
      <c r="F117" s="265" t="s">
        <v>1003</v>
      </c>
      <c r="G117" s="265" t="s">
        <v>793</v>
      </c>
      <c r="H117" s="265" t="s">
        <v>1004</v>
      </c>
      <c r="I117" s="265"/>
    </row>
    <row r="118" spans="1:9" x14ac:dyDescent="0.3">
      <c r="A118" s="252">
        <v>41968</v>
      </c>
      <c r="B118" s="142">
        <v>3357</v>
      </c>
      <c r="C118" s="142" t="s">
        <v>1017</v>
      </c>
      <c r="D118" s="453">
        <v>4726.0930158730698</v>
      </c>
      <c r="E118" s="265" t="s">
        <v>1005</v>
      </c>
      <c r="F118" s="265" t="s">
        <v>1006</v>
      </c>
      <c r="G118" s="265" t="s">
        <v>754</v>
      </c>
      <c r="H118" s="265"/>
      <c r="I118" s="265"/>
    </row>
    <row r="119" spans="1:9" x14ac:dyDescent="0.3">
      <c r="A119" s="252">
        <v>41970</v>
      </c>
      <c r="B119" s="142">
        <v>3358</v>
      </c>
      <c r="C119" s="142" t="s">
        <v>1018</v>
      </c>
      <c r="D119" s="453">
        <v>1293.86666666667</v>
      </c>
      <c r="E119" s="265" t="s">
        <v>1007</v>
      </c>
      <c r="F119" s="265" t="s">
        <v>1008</v>
      </c>
      <c r="G119" s="265" t="s">
        <v>1009</v>
      </c>
      <c r="H119" s="265" t="s">
        <v>1010</v>
      </c>
      <c r="I119" s="265" t="s">
        <v>1011</v>
      </c>
    </row>
    <row r="120" spans="1:9" x14ac:dyDescent="0.3">
      <c r="A120" s="252">
        <v>41973</v>
      </c>
      <c r="B120" s="142">
        <v>3359</v>
      </c>
      <c r="C120" s="142" t="s">
        <v>1019</v>
      </c>
      <c r="D120" s="453">
        <v>1200</v>
      </c>
      <c r="E120" s="265" t="s">
        <v>1012</v>
      </c>
      <c r="F120" s="265" t="s">
        <v>1013</v>
      </c>
      <c r="G120" s="265" t="s">
        <v>1014</v>
      </c>
    </row>
    <row r="121" spans="1:9" ht="16.2" thickBot="1" x14ac:dyDescent="0.35">
      <c r="D121" s="280">
        <f>SUM(D6:D120)</f>
        <v>362626.85834920622</v>
      </c>
    </row>
    <row r="122" spans="1:9" ht="16.2" thickTop="1" x14ac:dyDescent="0.3"/>
  </sheetData>
  <sortState ref="A5:I119">
    <sortCondition ref="A5"/>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workbookViewId="0">
      <selection activeCell="C5" sqref="C5"/>
    </sheetView>
  </sheetViews>
  <sheetFormatPr defaultColWidth="9.109375" defaultRowHeight="15.6" x14ac:dyDescent="0.3"/>
  <cols>
    <col min="1" max="1" width="9.109375" style="142"/>
    <col min="2" max="2" width="22.5546875" style="142" customWidth="1"/>
    <col min="3" max="8" width="13.5546875" style="142" customWidth="1"/>
    <col min="9" max="9" width="12.5546875" style="142" customWidth="1"/>
    <col min="10" max="16384" width="9.109375" style="142"/>
  </cols>
  <sheetData>
    <row r="1" spans="1:11" ht="23.4" x14ac:dyDescent="0.45">
      <c r="A1" s="33" t="s">
        <v>1032</v>
      </c>
      <c r="H1" s="3"/>
      <c r="K1" s="634" t="s">
        <v>3016</v>
      </c>
    </row>
    <row r="2" spans="1:11" ht="23.4" x14ac:dyDescent="0.45">
      <c r="A2" s="33"/>
    </row>
    <row r="4" spans="1:11" ht="21" x14ac:dyDescent="0.4">
      <c r="E4" s="262" t="s">
        <v>1021</v>
      </c>
    </row>
    <row r="5" spans="1:11" x14ac:dyDescent="0.3">
      <c r="B5" s="142" t="s">
        <v>1031</v>
      </c>
      <c r="C5" s="174">
        <f>COUNT(C8:C29)</f>
        <v>11</v>
      </c>
      <c r="D5" s="174">
        <f t="shared" ref="D5:H5" si="0">COUNT(D8:D29)</f>
        <v>14</v>
      </c>
      <c r="E5" s="174">
        <f t="shared" si="0"/>
        <v>11</v>
      </c>
      <c r="F5" s="174">
        <f t="shared" si="0"/>
        <v>8</v>
      </c>
      <c r="G5" s="174">
        <f t="shared" si="0"/>
        <v>12</v>
      </c>
      <c r="H5" s="174">
        <f t="shared" si="0"/>
        <v>10</v>
      </c>
      <c r="I5" s="174">
        <f>COUNT(C8:H29)</f>
        <v>66</v>
      </c>
    </row>
    <row r="6" spans="1:11" ht="18" x14ac:dyDescent="0.35">
      <c r="E6" s="263" t="s">
        <v>1022</v>
      </c>
    </row>
    <row r="7" spans="1:11" ht="31.2" x14ac:dyDescent="0.3">
      <c r="B7" s="264" t="s">
        <v>179</v>
      </c>
      <c r="C7" s="264" t="s">
        <v>1023</v>
      </c>
      <c r="D7" s="264" t="s">
        <v>1024</v>
      </c>
      <c r="E7" s="264" t="s">
        <v>1025</v>
      </c>
      <c r="F7" s="264" t="s">
        <v>1026</v>
      </c>
      <c r="G7" s="264" t="s">
        <v>1027</v>
      </c>
      <c r="H7" s="264" t="s">
        <v>1028</v>
      </c>
      <c r="I7" s="264" t="s">
        <v>1029</v>
      </c>
    </row>
    <row r="8" spans="1:11" x14ac:dyDescent="0.3">
      <c r="B8" s="265" t="s">
        <v>746</v>
      </c>
      <c r="C8" s="142">
        <v>4</v>
      </c>
      <c r="D8" s="142">
        <v>1</v>
      </c>
      <c r="E8" s="142">
        <v>4</v>
      </c>
      <c r="G8" s="142">
        <v>1</v>
      </c>
      <c r="H8" s="142">
        <v>3</v>
      </c>
      <c r="I8" s="142">
        <f>SUM(C8:H8)</f>
        <v>13</v>
      </c>
    </row>
    <row r="9" spans="1:11" x14ac:dyDescent="0.3">
      <c r="B9" s="265" t="s">
        <v>751</v>
      </c>
      <c r="D9" s="142">
        <v>2</v>
      </c>
      <c r="E9" s="142">
        <v>1</v>
      </c>
      <c r="F9" s="142">
        <v>2</v>
      </c>
      <c r="G9" s="142">
        <v>3</v>
      </c>
      <c r="I9" s="142">
        <f t="shared" ref="I9:I29" si="1">SUM(C9:H9)</f>
        <v>8</v>
      </c>
    </row>
    <row r="10" spans="1:11" x14ac:dyDescent="0.3">
      <c r="B10" s="265" t="s">
        <v>752</v>
      </c>
      <c r="C10" s="142">
        <v>1</v>
      </c>
      <c r="E10" s="142">
        <v>1</v>
      </c>
      <c r="F10" s="142">
        <v>2</v>
      </c>
      <c r="I10" s="142">
        <f t="shared" si="1"/>
        <v>4</v>
      </c>
    </row>
    <row r="11" spans="1:11" x14ac:dyDescent="0.3">
      <c r="B11" s="265" t="s">
        <v>756</v>
      </c>
      <c r="E11" s="142">
        <v>3</v>
      </c>
      <c r="G11" s="142">
        <v>3</v>
      </c>
      <c r="H11" s="142">
        <v>4</v>
      </c>
      <c r="I11" s="142">
        <f t="shared" si="1"/>
        <v>10</v>
      </c>
    </row>
    <row r="12" spans="1:11" x14ac:dyDescent="0.3">
      <c r="B12" s="266" t="s">
        <v>757</v>
      </c>
      <c r="C12" s="142">
        <v>3</v>
      </c>
      <c r="D12" s="142">
        <v>3</v>
      </c>
      <c r="I12" s="142">
        <f t="shared" si="1"/>
        <v>6</v>
      </c>
    </row>
    <row r="13" spans="1:11" x14ac:dyDescent="0.3">
      <c r="B13" s="265" t="s">
        <v>760</v>
      </c>
      <c r="C13" s="142">
        <v>1</v>
      </c>
      <c r="E13" s="142">
        <v>3</v>
      </c>
      <c r="F13" s="142">
        <v>2</v>
      </c>
      <c r="G13" s="142">
        <v>1</v>
      </c>
      <c r="H13" s="142">
        <v>1</v>
      </c>
      <c r="I13" s="142">
        <f t="shared" si="1"/>
        <v>8</v>
      </c>
    </row>
    <row r="14" spans="1:11" x14ac:dyDescent="0.3">
      <c r="B14" s="265" t="s">
        <v>763</v>
      </c>
      <c r="I14" s="142">
        <f t="shared" si="1"/>
        <v>0</v>
      </c>
    </row>
    <row r="15" spans="1:11" x14ac:dyDescent="0.3">
      <c r="B15" s="265" t="s">
        <v>768</v>
      </c>
      <c r="C15" s="142">
        <v>3</v>
      </c>
      <c r="D15" s="142">
        <v>3</v>
      </c>
      <c r="F15" s="142">
        <v>3</v>
      </c>
      <c r="H15" s="142">
        <v>4</v>
      </c>
      <c r="I15" s="142">
        <f t="shared" si="1"/>
        <v>13</v>
      </c>
    </row>
    <row r="16" spans="1:11" x14ac:dyDescent="0.3">
      <c r="B16" s="265" t="s">
        <v>772</v>
      </c>
      <c r="D16" s="142">
        <v>1</v>
      </c>
      <c r="G16" s="142">
        <v>6</v>
      </c>
      <c r="I16" s="142">
        <f t="shared" si="1"/>
        <v>7</v>
      </c>
    </row>
    <row r="17" spans="2:9" x14ac:dyDescent="0.3">
      <c r="B17" s="265" t="s">
        <v>773</v>
      </c>
      <c r="D17" s="142">
        <v>2</v>
      </c>
      <c r="E17" s="142">
        <v>1</v>
      </c>
      <c r="G17" s="142">
        <v>2</v>
      </c>
      <c r="H17" s="142">
        <v>3</v>
      </c>
      <c r="I17" s="142">
        <f t="shared" si="1"/>
        <v>8</v>
      </c>
    </row>
    <row r="18" spans="2:9" x14ac:dyDescent="0.3">
      <c r="B18" s="265" t="s">
        <v>774</v>
      </c>
      <c r="C18" s="142">
        <v>4</v>
      </c>
      <c r="D18" s="142">
        <v>3</v>
      </c>
      <c r="F18" s="142">
        <v>4</v>
      </c>
      <c r="I18" s="142">
        <f t="shared" si="1"/>
        <v>11</v>
      </c>
    </row>
    <row r="19" spans="2:9" x14ac:dyDescent="0.3">
      <c r="B19" s="265" t="s">
        <v>778</v>
      </c>
      <c r="E19" s="142">
        <v>1</v>
      </c>
      <c r="H19" s="142">
        <v>2</v>
      </c>
      <c r="I19" s="142">
        <f t="shared" si="1"/>
        <v>3</v>
      </c>
    </row>
    <row r="20" spans="2:9" x14ac:dyDescent="0.3">
      <c r="B20" s="265" t="s">
        <v>783</v>
      </c>
      <c r="D20" s="142">
        <v>3</v>
      </c>
      <c r="G20" s="142">
        <v>5</v>
      </c>
      <c r="I20" s="142">
        <f t="shared" si="1"/>
        <v>8</v>
      </c>
    </row>
    <row r="21" spans="2:9" x14ac:dyDescent="0.3">
      <c r="B21" s="265" t="s">
        <v>784</v>
      </c>
      <c r="C21" s="142">
        <v>3</v>
      </c>
      <c r="D21" s="142">
        <v>4</v>
      </c>
      <c r="E21" s="142">
        <v>2</v>
      </c>
      <c r="G21" s="142">
        <v>1</v>
      </c>
      <c r="I21" s="142">
        <f t="shared" si="1"/>
        <v>10</v>
      </c>
    </row>
    <row r="22" spans="2:9" x14ac:dyDescent="0.3">
      <c r="B22" s="265" t="s">
        <v>785</v>
      </c>
      <c r="D22" s="142">
        <v>3</v>
      </c>
      <c r="H22" s="142">
        <v>3</v>
      </c>
      <c r="I22" s="142">
        <f t="shared" si="1"/>
        <v>6</v>
      </c>
    </row>
    <row r="23" spans="2:9" x14ac:dyDescent="0.3">
      <c r="B23" s="265" t="s">
        <v>790</v>
      </c>
      <c r="D23" s="142">
        <v>1</v>
      </c>
      <c r="G23" s="142">
        <v>4</v>
      </c>
      <c r="I23" s="142">
        <f t="shared" si="1"/>
        <v>5</v>
      </c>
    </row>
    <row r="24" spans="2:9" x14ac:dyDescent="0.3">
      <c r="B24" s="265" t="s">
        <v>791</v>
      </c>
      <c r="C24" s="142">
        <v>3</v>
      </c>
      <c r="E24" s="142">
        <v>2</v>
      </c>
      <c r="I24" s="142">
        <f t="shared" si="1"/>
        <v>5</v>
      </c>
    </row>
    <row r="25" spans="2:9" x14ac:dyDescent="0.3">
      <c r="B25" s="265" t="s">
        <v>795</v>
      </c>
      <c r="D25" s="142">
        <v>4</v>
      </c>
      <c r="G25" s="142">
        <v>4</v>
      </c>
      <c r="H25" s="142">
        <v>4</v>
      </c>
      <c r="I25" s="142">
        <f t="shared" si="1"/>
        <v>12</v>
      </c>
    </row>
    <row r="26" spans="2:9" x14ac:dyDescent="0.3">
      <c r="B26" s="265" t="s">
        <v>796</v>
      </c>
      <c r="C26" s="142">
        <v>2</v>
      </c>
      <c r="E26" s="142">
        <v>2</v>
      </c>
      <c r="F26" s="142">
        <v>2</v>
      </c>
      <c r="I26" s="142">
        <f t="shared" si="1"/>
        <v>6</v>
      </c>
    </row>
    <row r="27" spans="2:9" x14ac:dyDescent="0.3">
      <c r="B27" s="265" t="s">
        <v>797</v>
      </c>
      <c r="D27" s="142">
        <v>1</v>
      </c>
      <c r="G27" s="142">
        <v>7</v>
      </c>
      <c r="H27" s="142">
        <v>5</v>
      </c>
      <c r="I27" s="142">
        <f t="shared" si="1"/>
        <v>13</v>
      </c>
    </row>
    <row r="28" spans="2:9" x14ac:dyDescent="0.3">
      <c r="B28" s="265" t="s">
        <v>798</v>
      </c>
      <c r="C28" s="142">
        <v>2</v>
      </c>
      <c r="E28" s="142">
        <v>2</v>
      </c>
      <c r="F28" s="142">
        <v>4</v>
      </c>
      <c r="I28" s="142">
        <f t="shared" si="1"/>
        <v>8</v>
      </c>
    </row>
    <row r="29" spans="2:9" x14ac:dyDescent="0.3">
      <c r="B29" s="265" t="s">
        <v>802</v>
      </c>
      <c r="C29" s="142">
        <v>1</v>
      </c>
      <c r="D29" s="142">
        <v>4</v>
      </c>
      <c r="F29" s="142">
        <v>2</v>
      </c>
      <c r="G29" s="142">
        <v>1</v>
      </c>
      <c r="H29" s="142">
        <v>2</v>
      </c>
      <c r="I29" s="142">
        <f t="shared" si="1"/>
        <v>10</v>
      </c>
    </row>
    <row r="30" spans="2:9" ht="16.2" thickBot="1" x14ac:dyDescent="0.35">
      <c r="B30" s="142" t="s">
        <v>1030</v>
      </c>
      <c r="C30" s="268">
        <f t="shared" ref="C30:H30" si="2">SUM(C8:C29)</f>
        <v>27</v>
      </c>
      <c r="D30" s="268">
        <f t="shared" si="2"/>
        <v>35</v>
      </c>
      <c r="E30" s="268">
        <f t="shared" si="2"/>
        <v>22</v>
      </c>
      <c r="F30" s="268">
        <f t="shared" si="2"/>
        <v>21</v>
      </c>
      <c r="G30" s="268">
        <f t="shared" si="2"/>
        <v>38</v>
      </c>
      <c r="H30" s="268">
        <f t="shared" si="2"/>
        <v>31</v>
      </c>
      <c r="I30" s="268">
        <f>SUM(C30:H30)</f>
        <v>174</v>
      </c>
    </row>
    <row r="31" spans="2:9" ht="16.2" thickTop="1" x14ac:dyDescent="0.3"/>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workbookViewId="0">
      <selection activeCell="C5" sqref="C5"/>
    </sheetView>
  </sheetViews>
  <sheetFormatPr defaultColWidth="9.109375" defaultRowHeight="15.6" x14ac:dyDescent="0.3"/>
  <cols>
    <col min="1" max="1" width="9.109375" style="142"/>
    <col min="2" max="2" width="22.5546875" style="142" customWidth="1"/>
    <col min="3" max="8" width="13.5546875" style="142" customWidth="1"/>
    <col min="9" max="9" width="12.5546875" style="142" customWidth="1"/>
    <col min="10" max="16384" width="9.109375" style="142"/>
  </cols>
  <sheetData>
    <row r="1" spans="1:11" ht="23.4" x14ac:dyDescent="0.45">
      <c r="A1" s="33" t="s">
        <v>1033</v>
      </c>
      <c r="H1" s="3"/>
      <c r="K1" s="634" t="s">
        <v>3016</v>
      </c>
    </row>
    <row r="2" spans="1:11" ht="23.4" x14ac:dyDescent="0.45">
      <c r="A2" s="33"/>
    </row>
    <row r="4" spans="1:11" ht="21" x14ac:dyDescent="0.4">
      <c r="E4" s="262" t="s">
        <v>1021</v>
      </c>
    </row>
    <row r="5" spans="1:11" x14ac:dyDescent="0.3">
      <c r="B5" s="142" t="s">
        <v>1031</v>
      </c>
      <c r="C5" s="174">
        <f>COUNTA(C8:C29)</f>
        <v>12</v>
      </c>
      <c r="D5" s="174">
        <f>COUNTA(D8:D29)</f>
        <v>16</v>
      </c>
      <c r="E5" s="174">
        <f t="shared" ref="E5:I5" si="0">COUNTA(E8:E29)</f>
        <v>16</v>
      </c>
      <c r="F5" s="174">
        <f t="shared" si="0"/>
        <v>11</v>
      </c>
      <c r="G5" s="174">
        <f t="shared" si="0"/>
        <v>15</v>
      </c>
      <c r="H5" s="174">
        <f t="shared" si="0"/>
        <v>15</v>
      </c>
      <c r="I5" s="174">
        <f t="shared" si="0"/>
        <v>22</v>
      </c>
    </row>
    <row r="6" spans="1:11" ht="18" x14ac:dyDescent="0.35">
      <c r="E6" s="263" t="s">
        <v>1022</v>
      </c>
    </row>
    <row r="7" spans="1:11" ht="31.2" x14ac:dyDescent="0.3">
      <c r="B7" s="264" t="s">
        <v>179</v>
      </c>
      <c r="C7" s="264" t="s">
        <v>1023</v>
      </c>
      <c r="D7" s="264" t="s">
        <v>1024</v>
      </c>
      <c r="E7" s="264" t="s">
        <v>1025</v>
      </c>
      <c r="F7" s="264" t="s">
        <v>1026</v>
      </c>
      <c r="G7" s="264" t="s">
        <v>1027</v>
      </c>
      <c r="H7" s="264" t="s">
        <v>1028</v>
      </c>
      <c r="I7" s="264" t="s">
        <v>1029</v>
      </c>
    </row>
    <row r="8" spans="1:11" x14ac:dyDescent="0.3">
      <c r="B8" s="265" t="s">
        <v>746</v>
      </c>
      <c r="C8" s="242" t="s">
        <v>1037</v>
      </c>
      <c r="D8" s="242" t="s">
        <v>1039</v>
      </c>
      <c r="E8" s="242" t="s">
        <v>1038</v>
      </c>
      <c r="F8" s="242" t="s">
        <v>1037</v>
      </c>
      <c r="G8" s="242" t="s">
        <v>1039</v>
      </c>
      <c r="H8" s="242" t="s">
        <v>1038</v>
      </c>
      <c r="I8" s="142">
        <f>SUM(C8:H8)</f>
        <v>0</v>
      </c>
    </row>
    <row r="9" spans="1:11" x14ac:dyDescent="0.3">
      <c r="B9" s="265" t="s">
        <v>751</v>
      </c>
      <c r="C9" s="242"/>
      <c r="D9" s="242" t="s">
        <v>1034</v>
      </c>
      <c r="E9" s="242" t="s">
        <v>1039</v>
      </c>
      <c r="F9" s="242"/>
      <c r="G9" s="242" t="s">
        <v>1034</v>
      </c>
      <c r="H9" s="242" t="s">
        <v>1039</v>
      </c>
      <c r="I9" s="142">
        <f t="shared" ref="I9:I29" si="1">SUM(C9:H9)</f>
        <v>0</v>
      </c>
    </row>
    <row r="10" spans="1:11" x14ac:dyDescent="0.3">
      <c r="B10" s="265" t="s">
        <v>752</v>
      </c>
      <c r="C10" s="242" t="s">
        <v>1038</v>
      </c>
      <c r="D10" s="242"/>
      <c r="E10" s="242" t="s">
        <v>1039</v>
      </c>
      <c r="F10" s="242" t="s">
        <v>1038</v>
      </c>
      <c r="G10" s="242"/>
      <c r="H10" s="242" t="s">
        <v>1039</v>
      </c>
      <c r="I10" s="142">
        <f t="shared" si="1"/>
        <v>0</v>
      </c>
    </row>
    <row r="11" spans="1:11" x14ac:dyDescent="0.3">
      <c r="B11" s="265" t="s">
        <v>756</v>
      </c>
      <c r="C11" s="242"/>
      <c r="D11" s="242" t="s">
        <v>1035</v>
      </c>
      <c r="E11" s="242" t="s">
        <v>1040</v>
      </c>
      <c r="F11" s="242"/>
      <c r="G11" s="242" t="s">
        <v>1035</v>
      </c>
      <c r="H11" s="242" t="s">
        <v>1040</v>
      </c>
      <c r="I11" s="142">
        <f t="shared" si="1"/>
        <v>0</v>
      </c>
    </row>
    <row r="12" spans="1:11" x14ac:dyDescent="0.3">
      <c r="B12" s="266" t="s">
        <v>757</v>
      </c>
      <c r="C12" s="242" t="s">
        <v>1034</v>
      </c>
      <c r="D12" s="242" t="s">
        <v>1036</v>
      </c>
      <c r="E12" s="242"/>
      <c r="F12" s="242" t="s">
        <v>1034</v>
      </c>
      <c r="G12" s="242" t="s">
        <v>1036</v>
      </c>
      <c r="H12" s="242"/>
      <c r="I12" s="142">
        <f t="shared" si="1"/>
        <v>0</v>
      </c>
    </row>
    <row r="13" spans="1:11" x14ac:dyDescent="0.3">
      <c r="B13" s="265" t="s">
        <v>760</v>
      </c>
      <c r="C13" s="242"/>
      <c r="D13" s="242"/>
      <c r="E13" s="242"/>
      <c r="F13" s="242" t="s">
        <v>1037</v>
      </c>
      <c r="G13" s="242" t="s">
        <v>1039</v>
      </c>
      <c r="H13" s="242" t="s">
        <v>1038</v>
      </c>
      <c r="I13" s="142">
        <f t="shared" si="1"/>
        <v>0</v>
      </c>
    </row>
    <row r="14" spans="1:11" x14ac:dyDescent="0.3">
      <c r="B14" s="265" t="s">
        <v>763</v>
      </c>
      <c r="C14" s="242"/>
      <c r="D14" s="242"/>
      <c r="E14" s="242"/>
      <c r="F14" s="242"/>
      <c r="G14" s="242" t="s">
        <v>1034</v>
      </c>
      <c r="H14" s="242" t="s">
        <v>1039</v>
      </c>
      <c r="I14" s="142">
        <f t="shared" si="1"/>
        <v>0</v>
      </c>
    </row>
    <row r="15" spans="1:11" x14ac:dyDescent="0.3">
      <c r="B15" s="265" t="s">
        <v>768</v>
      </c>
      <c r="C15" s="242" t="s">
        <v>1037</v>
      </c>
      <c r="D15" s="242" t="s">
        <v>1039</v>
      </c>
      <c r="E15" s="242" t="s">
        <v>1038</v>
      </c>
      <c r="F15" s="242" t="s">
        <v>1038</v>
      </c>
      <c r="G15" s="242"/>
      <c r="H15" s="242" t="s">
        <v>1039</v>
      </c>
      <c r="I15" s="142">
        <f t="shared" si="1"/>
        <v>0</v>
      </c>
    </row>
    <row r="16" spans="1:11" x14ac:dyDescent="0.3">
      <c r="B16" s="265" t="s">
        <v>772</v>
      </c>
      <c r="C16" s="242"/>
      <c r="D16" s="242" t="s">
        <v>1034</v>
      </c>
      <c r="E16" s="242" t="s">
        <v>1039</v>
      </c>
      <c r="F16" s="242"/>
      <c r="G16" s="242" t="s">
        <v>1035</v>
      </c>
      <c r="H16" s="242" t="s">
        <v>1040</v>
      </c>
      <c r="I16" s="142">
        <f t="shared" si="1"/>
        <v>0</v>
      </c>
    </row>
    <row r="17" spans="2:9" x14ac:dyDescent="0.3">
      <c r="B17" s="265" t="s">
        <v>773</v>
      </c>
      <c r="C17" s="242" t="s">
        <v>1038</v>
      </c>
      <c r="D17" s="242"/>
      <c r="E17" s="242" t="s">
        <v>1039</v>
      </c>
      <c r="F17" s="242" t="s">
        <v>1034</v>
      </c>
      <c r="G17" s="242" t="s">
        <v>1036</v>
      </c>
      <c r="H17" s="242"/>
      <c r="I17" s="142">
        <f t="shared" si="1"/>
        <v>0</v>
      </c>
    </row>
    <row r="18" spans="2:9" x14ac:dyDescent="0.3">
      <c r="B18" s="265" t="s">
        <v>774</v>
      </c>
      <c r="C18" s="242"/>
      <c r="D18" s="242" t="s">
        <v>1035</v>
      </c>
      <c r="E18" s="242" t="s">
        <v>1040</v>
      </c>
      <c r="F18" s="242"/>
      <c r="G18" s="242" t="s">
        <v>1034</v>
      </c>
      <c r="H18" s="242" t="s">
        <v>1039</v>
      </c>
      <c r="I18" s="142">
        <f t="shared" si="1"/>
        <v>0</v>
      </c>
    </row>
    <row r="19" spans="2:9" x14ac:dyDescent="0.3">
      <c r="B19" s="265" t="s">
        <v>778</v>
      </c>
      <c r="C19" s="242" t="s">
        <v>1034</v>
      </c>
      <c r="D19" s="242" t="s">
        <v>1036</v>
      </c>
      <c r="E19" s="242"/>
      <c r="F19" s="242" t="s">
        <v>1038</v>
      </c>
      <c r="G19" s="242"/>
      <c r="H19" s="242" t="s">
        <v>1039</v>
      </c>
      <c r="I19" s="142">
        <f t="shared" si="1"/>
        <v>0</v>
      </c>
    </row>
    <row r="20" spans="2:9" x14ac:dyDescent="0.3">
      <c r="B20" s="265" t="s">
        <v>783</v>
      </c>
      <c r="C20" s="242" t="s">
        <v>1037</v>
      </c>
      <c r="D20" s="242" t="s">
        <v>1039</v>
      </c>
      <c r="E20" s="242" t="s">
        <v>1038</v>
      </c>
      <c r="F20" s="242"/>
      <c r="G20" s="242" t="s">
        <v>1035</v>
      </c>
      <c r="H20" s="242" t="s">
        <v>1040</v>
      </c>
      <c r="I20" s="142">
        <f t="shared" si="1"/>
        <v>0</v>
      </c>
    </row>
    <row r="21" spans="2:9" x14ac:dyDescent="0.3">
      <c r="B21" s="265" t="s">
        <v>784</v>
      </c>
      <c r="C21" s="242"/>
      <c r="D21" s="242" t="s">
        <v>1034</v>
      </c>
      <c r="E21" s="242" t="s">
        <v>1039</v>
      </c>
      <c r="F21" s="242" t="s">
        <v>1034</v>
      </c>
      <c r="G21" s="242" t="s">
        <v>1036</v>
      </c>
      <c r="H21" s="242"/>
      <c r="I21" s="142">
        <f t="shared" si="1"/>
        <v>0</v>
      </c>
    </row>
    <row r="22" spans="2:9" x14ac:dyDescent="0.3">
      <c r="B22" s="265" t="s">
        <v>785</v>
      </c>
      <c r="C22" s="242" t="s">
        <v>1038</v>
      </c>
      <c r="D22" s="242"/>
      <c r="E22" s="242" t="s">
        <v>1039</v>
      </c>
      <c r="F22" s="242"/>
      <c r="G22" s="242"/>
      <c r="H22" s="242"/>
      <c r="I22" s="142">
        <f t="shared" si="1"/>
        <v>0</v>
      </c>
    </row>
    <row r="23" spans="2:9" x14ac:dyDescent="0.3">
      <c r="B23" s="265" t="s">
        <v>790</v>
      </c>
      <c r="C23" s="242"/>
      <c r="D23" s="242" t="s">
        <v>1035</v>
      </c>
      <c r="E23" s="242" t="s">
        <v>1040</v>
      </c>
      <c r="F23" s="242" t="s">
        <v>1037</v>
      </c>
      <c r="G23" s="242" t="s">
        <v>1039</v>
      </c>
      <c r="H23" s="242" t="s">
        <v>1038</v>
      </c>
      <c r="I23" s="142">
        <f t="shared" si="1"/>
        <v>0</v>
      </c>
    </row>
    <row r="24" spans="2:9" x14ac:dyDescent="0.3">
      <c r="B24" s="265" t="s">
        <v>791</v>
      </c>
      <c r="C24" s="242" t="s">
        <v>1034</v>
      </c>
      <c r="D24" s="242" t="s">
        <v>1036</v>
      </c>
      <c r="E24" s="242"/>
      <c r="F24" s="242"/>
      <c r="G24" s="242" t="s">
        <v>1034</v>
      </c>
      <c r="H24" s="242" t="s">
        <v>1039</v>
      </c>
      <c r="I24" s="142">
        <f t="shared" si="1"/>
        <v>0</v>
      </c>
    </row>
    <row r="25" spans="2:9" x14ac:dyDescent="0.3">
      <c r="B25" s="265" t="s">
        <v>795</v>
      </c>
      <c r="C25" s="242" t="s">
        <v>1037</v>
      </c>
      <c r="D25" s="242" t="s">
        <v>1039</v>
      </c>
      <c r="E25" s="242" t="s">
        <v>1038</v>
      </c>
      <c r="F25" s="242" t="s">
        <v>1038</v>
      </c>
      <c r="G25" s="242"/>
      <c r="H25" s="242" t="s">
        <v>1039</v>
      </c>
      <c r="I25" s="142">
        <f t="shared" si="1"/>
        <v>0</v>
      </c>
    </row>
    <row r="26" spans="2:9" x14ac:dyDescent="0.3">
      <c r="B26" s="265" t="s">
        <v>796</v>
      </c>
      <c r="C26" s="242"/>
      <c r="D26" s="242" t="s">
        <v>1034</v>
      </c>
      <c r="E26" s="242" t="s">
        <v>1039</v>
      </c>
      <c r="F26" s="242"/>
      <c r="G26" s="242" t="s">
        <v>1035</v>
      </c>
      <c r="H26" s="242" t="s">
        <v>1040</v>
      </c>
      <c r="I26" s="142">
        <f t="shared" si="1"/>
        <v>0</v>
      </c>
    </row>
    <row r="27" spans="2:9" x14ac:dyDescent="0.3">
      <c r="B27" s="265" t="s">
        <v>797</v>
      </c>
      <c r="C27" s="242" t="s">
        <v>1038</v>
      </c>
      <c r="D27" s="242"/>
      <c r="E27" s="242" t="s">
        <v>1039</v>
      </c>
      <c r="F27" s="242" t="s">
        <v>1034</v>
      </c>
      <c r="G27" s="242" t="s">
        <v>1036</v>
      </c>
      <c r="H27" s="242"/>
      <c r="I27" s="142">
        <f t="shared" si="1"/>
        <v>0</v>
      </c>
    </row>
    <row r="28" spans="2:9" x14ac:dyDescent="0.3">
      <c r="B28" s="265" t="s">
        <v>798</v>
      </c>
      <c r="C28" s="242"/>
      <c r="D28" s="242" t="s">
        <v>1035</v>
      </c>
      <c r="E28" s="242" t="s">
        <v>1040</v>
      </c>
      <c r="F28" s="242"/>
      <c r="G28" s="242"/>
      <c r="H28" s="242"/>
      <c r="I28" s="142">
        <f t="shared" si="1"/>
        <v>0</v>
      </c>
    </row>
    <row r="29" spans="2:9" x14ac:dyDescent="0.3">
      <c r="B29" s="265" t="s">
        <v>802</v>
      </c>
      <c r="C29" s="242" t="s">
        <v>1034</v>
      </c>
      <c r="D29" s="242" t="s">
        <v>1036</v>
      </c>
      <c r="E29" s="242"/>
      <c r="F29" s="242"/>
      <c r="G29" s="242"/>
      <c r="H29" s="242"/>
      <c r="I29" s="142">
        <f t="shared" si="1"/>
        <v>0</v>
      </c>
    </row>
    <row r="30" spans="2:9" ht="16.2" thickBot="1" x14ac:dyDescent="0.35">
      <c r="B30" s="142" t="s">
        <v>1030</v>
      </c>
      <c r="C30" s="268">
        <f t="shared" ref="C30:H30" si="2">SUM(C8:C29)</f>
        <v>0</v>
      </c>
      <c r="D30" s="268">
        <f t="shared" si="2"/>
        <v>0</v>
      </c>
      <c r="E30" s="268">
        <f t="shared" si="2"/>
        <v>0</v>
      </c>
      <c r="F30" s="268">
        <f t="shared" si="2"/>
        <v>0</v>
      </c>
      <c r="G30" s="268">
        <f t="shared" si="2"/>
        <v>0</v>
      </c>
      <c r="H30" s="268">
        <f t="shared" si="2"/>
        <v>0</v>
      </c>
      <c r="I30" s="268">
        <f>SUM(C30:H30)</f>
        <v>0</v>
      </c>
    </row>
    <row r="31" spans="2:9" ht="16.2" thickTop="1" x14ac:dyDescent="0.3"/>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workbookViewId="0">
      <selection activeCell="B13" sqref="B13"/>
    </sheetView>
  </sheetViews>
  <sheetFormatPr defaultColWidth="9.109375" defaultRowHeight="15.6" x14ac:dyDescent="0.3"/>
  <cols>
    <col min="1" max="1" width="9.109375" style="142"/>
    <col min="2" max="2" width="24.5546875" style="142" customWidth="1"/>
    <col min="3" max="3" width="16" style="142" customWidth="1"/>
    <col min="4" max="4" width="24.5546875" style="142" customWidth="1"/>
    <col min="5" max="16384" width="9.109375" style="142"/>
  </cols>
  <sheetData>
    <row r="1" spans="1:11" ht="23.4" x14ac:dyDescent="0.45">
      <c r="A1" s="33" t="s">
        <v>1046</v>
      </c>
      <c r="K1" s="634" t="s">
        <v>3016</v>
      </c>
    </row>
    <row r="3" spans="1:11" x14ac:dyDescent="0.3">
      <c r="B3" s="459" t="s">
        <v>637</v>
      </c>
      <c r="C3" s="3"/>
      <c r="D3" s="459" t="s">
        <v>639</v>
      </c>
      <c r="F3" s="460" t="s">
        <v>1043</v>
      </c>
    </row>
    <row r="4" spans="1:11" x14ac:dyDescent="0.3">
      <c r="B4" s="3"/>
      <c r="C4" s="3"/>
      <c r="D4" s="3"/>
    </row>
    <row r="5" spans="1:11" x14ac:dyDescent="0.3">
      <c r="B5" s="418">
        <v>654</v>
      </c>
      <c r="C5" s="418"/>
      <c r="D5" s="418">
        <v>654</v>
      </c>
      <c r="F5" s="142" t="s">
        <v>1044</v>
      </c>
    </row>
    <row r="6" spans="1:11" x14ac:dyDescent="0.3">
      <c r="B6" s="418">
        <v>8475</v>
      </c>
      <c r="C6" s="418"/>
      <c r="D6" s="418">
        <v>8475</v>
      </c>
      <c r="F6" s="142" t="s">
        <v>1045</v>
      </c>
    </row>
    <row r="7" spans="1:11" x14ac:dyDescent="0.3">
      <c r="B7" s="418">
        <v>5676</v>
      </c>
      <c r="C7" s="418"/>
      <c r="D7" s="418">
        <v>5676</v>
      </c>
    </row>
    <row r="8" spans="1:11" x14ac:dyDescent="0.3">
      <c r="B8" s="418">
        <v>865</v>
      </c>
      <c r="C8" s="418"/>
      <c r="D8" s="418">
        <v>865</v>
      </c>
    </row>
    <row r="9" spans="1:11" x14ac:dyDescent="0.3">
      <c r="B9" s="418">
        <v>866</v>
      </c>
      <c r="C9" s="418"/>
      <c r="D9" s="418">
        <v>866</v>
      </c>
    </row>
    <row r="10" spans="1:11" x14ac:dyDescent="0.3">
      <c r="B10" s="418">
        <v>6576</v>
      </c>
      <c r="C10" s="418"/>
      <c r="D10" s="418">
        <v>6576</v>
      </c>
    </row>
    <row r="11" spans="1:11" x14ac:dyDescent="0.3">
      <c r="B11" s="418">
        <v>858</v>
      </c>
      <c r="C11" s="418"/>
      <c r="D11" s="418">
        <v>858</v>
      </c>
    </row>
    <row r="12" spans="1:11" x14ac:dyDescent="0.3">
      <c r="B12" s="418">
        <v>457</v>
      </c>
      <c r="C12" s="418"/>
      <c r="D12" s="418">
        <v>457</v>
      </c>
    </row>
    <row r="13" spans="1:11" ht="16.2" thickBot="1" x14ac:dyDescent="0.35">
      <c r="B13" s="461">
        <f>AVERAGE(B5,B6,B7,B8,B9,B10,B11,B12)</f>
        <v>3053.375</v>
      </c>
      <c r="C13" s="418"/>
      <c r="D13" s="461">
        <f>AVERAGE(D5:D12)</f>
        <v>3053.375</v>
      </c>
    </row>
    <row r="14" spans="1:11" ht="16.2" thickTop="1" x14ac:dyDescent="0.3">
      <c r="B14" s="3"/>
      <c r="C14" s="418"/>
      <c r="D14" s="3"/>
    </row>
    <row r="15" spans="1:11" ht="16.2" thickBot="1" x14ac:dyDescent="0.35">
      <c r="B15" s="461" t="s">
        <v>1042</v>
      </c>
      <c r="C15" s="418"/>
      <c r="D15" s="461" t="s">
        <v>1041</v>
      </c>
    </row>
    <row r="16" spans="1:11" ht="16.2" thickTop="1"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workbookViewId="0">
      <selection activeCell="E9" sqref="E9"/>
    </sheetView>
  </sheetViews>
  <sheetFormatPr defaultColWidth="9.109375" defaultRowHeight="15.6" x14ac:dyDescent="0.3"/>
  <cols>
    <col min="1" max="1" width="3.88671875" style="142" customWidth="1"/>
    <col min="2" max="2" width="33.88671875" style="142" customWidth="1"/>
    <col min="3" max="8" width="15.109375" style="142" customWidth="1"/>
    <col min="9" max="16384" width="9.109375" style="142"/>
  </cols>
  <sheetData>
    <row r="1" spans="1:10" ht="23.4" x14ac:dyDescent="0.45">
      <c r="A1" s="33" t="s">
        <v>1047</v>
      </c>
      <c r="G1" s="370">
        <f>COUNTBLANK(C6:H34)</f>
        <v>17</v>
      </c>
      <c r="J1" s="634" t="s">
        <v>3016</v>
      </c>
    </row>
    <row r="3" spans="1:10" ht="21" x14ac:dyDescent="0.4">
      <c r="C3" s="721" t="s">
        <v>3024</v>
      </c>
      <c r="D3" s="721"/>
      <c r="E3" s="721"/>
      <c r="F3" s="721"/>
      <c r="G3" s="721"/>
      <c r="H3" s="721"/>
    </row>
    <row r="4" spans="1:10" ht="16.2" thickBot="1" x14ac:dyDescent="0.35">
      <c r="C4" s="454" t="s">
        <v>102</v>
      </c>
      <c r="D4" s="454" t="s">
        <v>103</v>
      </c>
      <c r="E4" s="454" t="s">
        <v>104</v>
      </c>
      <c r="F4" s="454" t="s">
        <v>708</v>
      </c>
      <c r="G4" s="454" t="s">
        <v>709</v>
      </c>
      <c r="H4" s="454" t="s">
        <v>710</v>
      </c>
    </row>
    <row r="5" spans="1:10" x14ac:dyDescent="0.3">
      <c r="B5" s="151" t="s">
        <v>707</v>
      </c>
      <c r="C5" s="455"/>
      <c r="D5" s="455"/>
      <c r="E5" s="455"/>
      <c r="F5" s="455"/>
      <c r="G5" s="455"/>
      <c r="H5" s="455"/>
    </row>
    <row r="6" spans="1:10" x14ac:dyDescent="0.3">
      <c r="B6" s="157" t="s">
        <v>1048</v>
      </c>
      <c r="C6" s="456">
        <v>2139.5500000000002</v>
      </c>
      <c r="D6" s="457">
        <v>2674.4375</v>
      </c>
      <c r="E6" s="457">
        <v>3476.7687500000002</v>
      </c>
      <c r="F6" s="456">
        <v>2139.5500000000002</v>
      </c>
      <c r="G6" s="457">
        <v>2674.4375</v>
      </c>
      <c r="H6" s="457">
        <v>3476.7687500000002</v>
      </c>
    </row>
    <row r="7" spans="1:10" x14ac:dyDescent="0.3">
      <c r="B7" s="157" t="s">
        <v>1049</v>
      </c>
      <c r="C7" s="456">
        <v>37.340000000000003</v>
      </c>
      <c r="D7" s="457">
        <v>48.542000000000009</v>
      </c>
      <c r="E7" s="457">
        <v>60.677500000000009</v>
      </c>
      <c r="F7" s="456">
        <v>37.340000000000003</v>
      </c>
      <c r="G7" s="457">
        <v>48.542000000000009</v>
      </c>
      <c r="H7" s="457">
        <v>60.677500000000009</v>
      </c>
    </row>
    <row r="8" spans="1:10" x14ac:dyDescent="0.3">
      <c r="B8" s="157" t="s">
        <v>1050</v>
      </c>
      <c r="C8" s="456">
        <v>400</v>
      </c>
      <c r="D8" s="457">
        <v>500</v>
      </c>
      <c r="E8" s="457"/>
      <c r="F8" s="456">
        <v>400</v>
      </c>
      <c r="G8" s="457">
        <v>500</v>
      </c>
      <c r="H8" s="457">
        <v>650</v>
      </c>
    </row>
    <row r="9" spans="1:10" x14ac:dyDescent="0.3">
      <c r="B9" s="157" t="s">
        <v>1051</v>
      </c>
      <c r="C9" s="456">
        <v>26654.799999999999</v>
      </c>
      <c r="D9" s="457">
        <v>34651.24</v>
      </c>
      <c r="E9" s="457">
        <v>43314.049999999996</v>
      </c>
      <c r="F9" s="456">
        <v>26654.799999999999</v>
      </c>
      <c r="G9" s="457">
        <v>34651.24</v>
      </c>
      <c r="H9" s="457">
        <v>43314.049999999996</v>
      </c>
    </row>
    <row r="10" spans="1:10" x14ac:dyDescent="0.3">
      <c r="B10" s="157" t="s">
        <v>1052</v>
      </c>
      <c r="C10" s="456">
        <v>1282.53</v>
      </c>
      <c r="D10" s="457">
        <v>1603.1624999999999</v>
      </c>
      <c r="E10" s="457">
        <v>2084.1112499999999</v>
      </c>
      <c r="F10" s="456">
        <v>1282.53</v>
      </c>
      <c r="G10" s="457">
        <v>1603.1624999999999</v>
      </c>
      <c r="H10" s="457">
        <v>2084.1112499999999</v>
      </c>
    </row>
    <row r="11" spans="1:10" x14ac:dyDescent="0.3">
      <c r="B11" s="157" t="s">
        <v>3072</v>
      </c>
      <c r="C11" s="456">
        <v>6051.13</v>
      </c>
      <c r="D11" s="457">
        <v>7866.4690000000001</v>
      </c>
      <c r="E11" s="457">
        <v>9833.0862500000003</v>
      </c>
      <c r="F11" s="456">
        <v>6051.13</v>
      </c>
      <c r="G11" s="457">
        <v>7866.4690000000001</v>
      </c>
      <c r="H11" s="457">
        <v>9833.0862500000003</v>
      </c>
    </row>
    <row r="12" spans="1:10" x14ac:dyDescent="0.3">
      <c r="B12" s="157" t="s">
        <v>1054</v>
      </c>
      <c r="C12" s="456"/>
      <c r="D12" s="457">
        <v>463.69999999999993</v>
      </c>
      <c r="E12" s="457">
        <v>602.80999999999995</v>
      </c>
      <c r="F12" s="456">
        <v>370.96</v>
      </c>
      <c r="G12" s="457">
        <v>463.69999999999993</v>
      </c>
      <c r="H12" s="457">
        <v>602.80999999999995</v>
      </c>
    </row>
    <row r="13" spans="1:10" x14ac:dyDescent="0.3">
      <c r="B13" s="157" t="s">
        <v>1055</v>
      </c>
      <c r="C13" s="456">
        <v>65.41</v>
      </c>
      <c r="D13" s="457">
        <v>85.033000000000001</v>
      </c>
      <c r="E13" s="457">
        <v>106.29124999999999</v>
      </c>
      <c r="F13" s="456">
        <v>65.41</v>
      </c>
      <c r="G13" s="457"/>
      <c r="H13" s="457">
        <v>106.29124999999999</v>
      </c>
    </row>
    <row r="14" spans="1:10" x14ac:dyDescent="0.3">
      <c r="B14" s="157" t="s">
        <v>1056</v>
      </c>
      <c r="C14" s="456">
        <v>3950.05</v>
      </c>
      <c r="D14" s="457">
        <v>4937.5625</v>
      </c>
      <c r="E14" s="457">
        <v>6418.8312500000002</v>
      </c>
      <c r="F14" s="456">
        <v>3950.05</v>
      </c>
      <c r="G14" s="457">
        <v>4937.5625</v>
      </c>
      <c r="H14" s="457">
        <v>6418.8312500000002</v>
      </c>
    </row>
    <row r="15" spans="1:10" x14ac:dyDescent="0.3">
      <c r="B15" s="157" t="s">
        <v>1057</v>
      </c>
      <c r="C15" s="456">
        <v>11697</v>
      </c>
      <c r="D15" s="457">
        <v>15206.1</v>
      </c>
      <c r="E15" s="457">
        <v>19007.625</v>
      </c>
      <c r="F15" s="456">
        <v>11697</v>
      </c>
      <c r="G15" s="457">
        <v>15206.1</v>
      </c>
      <c r="H15" s="457">
        <v>19007.625</v>
      </c>
    </row>
    <row r="16" spans="1:10" x14ac:dyDescent="0.3">
      <c r="B16" s="157" t="s">
        <v>1058</v>
      </c>
      <c r="C16" s="456">
        <v>1184.8699999999999</v>
      </c>
      <c r="D16" s="457">
        <v>1481.0874999999999</v>
      </c>
      <c r="E16" s="457">
        <v>1925.4137499999999</v>
      </c>
      <c r="F16" s="456">
        <v>1184.8699999999999</v>
      </c>
      <c r="G16" s="457">
        <v>1481.0874999999999</v>
      </c>
      <c r="H16" s="457">
        <v>1925.4137499999999</v>
      </c>
    </row>
    <row r="17" spans="2:8" x14ac:dyDescent="0.3">
      <c r="B17" s="157" t="s">
        <v>1059</v>
      </c>
      <c r="C17" s="456">
        <v>90</v>
      </c>
      <c r="D17" s="457">
        <v>117</v>
      </c>
      <c r="E17" s="457">
        <v>146.25</v>
      </c>
      <c r="F17" s="456">
        <v>90</v>
      </c>
      <c r="G17" s="457">
        <v>117</v>
      </c>
      <c r="H17" s="457">
        <v>146.25</v>
      </c>
    </row>
    <row r="18" spans="2:8" x14ac:dyDescent="0.3">
      <c r="B18" s="157" t="s">
        <v>1060</v>
      </c>
      <c r="C18" s="456">
        <v>21010.25</v>
      </c>
      <c r="D18" s="457">
        <v>26262.8125</v>
      </c>
      <c r="E18" s="457">
        <v>34141.65625</v>
      </c>
      <c r="F18" s="456">
        <v>21010.25</v>
      </c>
      <c r="G18" s="457"/>
      <c r="H18" s="457">
        <v>34141.65625</v>
      </c>
    </row>
    <row r="19" spans="2:8" x14ac:dyDescent="0.3">
      <c r="B19" s="157" t="s">
        <v>1061</v>
      </c>
      <c r="C19" s="456">
        <v>6861.83</v>
      </c>
      <c r="D19" s="457">
        <v>8920.3790000000008</v>
      </c>
      <c r="E19" s="457">
        <v>11150.473750000001</v>
      </c>
      <c r="F19" s="456">
        <v>6861.83</v>
      </c>
      <c r="G19" s="457">
        <v>8920.3790000000008</v>
      </c>
      <c r="H19" s="457">
        <v>11150.473750000001</v>
      </c>
    </row>
    <row r="20" spans="2:8" x14ac:dyDescent="0.3">
      <c r="B20" s="157" t="s">
        <v>1062</v>
      </c>
      <c r="C20" s="456">
        <v>5789.74</v>
      </c>
      <c r="D20" s="457">
        <v>7237.1749999999993</v>
      </c>
      <c r="E20" s="457">
        <v>9408.3274999999994</v>
      </c>
      <c r="F20" s="456">
        <v>5789.74</v>
      </c>
      <c r="G20" s="457">
        <v>7237.1749999999993</v>
      </c>
      <c r="H20" s="457">
        <v>9408.3274999999994</v>
      </c>
    </row>
    <row r="21" spans="2:8" x14ac:dyDescent="0.3">
      <c r="B21" s="157" t="s">
        <v>1063</v>
      </c>
      <c r="C21" s="456">
        <v>391.5</v>
      </c>
      <c r="D21" s="457">
        <v>508.95000000000005</v>
      </c>
      <c r="E21" s="457"/>
      <c r="F21" s="456">
        <v>391.5</v>
      </c>
      <c r="G21" s="457">
        <v>508.95000000000005</v>
      </c>
      <c r="H21" s="457"/>
    </row>
    <row r="22" spans="2:8" x14ac:dyDescent="0.3">
      <c r="B22" s="157" t="s">
        <v>1064</v>
      </c>
      <c r="C22" s="456">
        <v>172000</v>
      </c>
      <c r="D22" s="457">
        <v>215000</v>
      </c>
      <c r="E22" s="457">
        <v>279500</v>
      </c>
      <c r="F22" s="456">
        <v>172000</v>
      </c>
      <c r="G22" s="457">
        <v>215000</v>
      </c>
      <c r="H22" s="457">
        <v>279500</v>
      </c>
    </row>
    <row r="23" spans="2:8" x14ac:dyDescent="0.3">
      <c r="B23" s="157" t="s">
        <v>1065</v>
      </c>
      <c r="C23" s="456"/>
      <c r="D23" s="457">
        <v>-27.742000000000001</v>
      </c>
      <c r="E23" s="457">
        <v>-34.677500000000002</v>
      </c>
      <c r="F23" s="456">
        <v>-21.34</v>
      </c>
      <c r="G23" s="457">
        <v>-27.742000000000001</v>
      </c>
      <c r="H23" s="457">
        <v>-34.677500000000002</v>
      </c>
    </row>
    <row r="24" spans="2:8" x14ac:dyDescent="0.3">
      <c r="B24" s="157" t="s">
        <v>3071</v>
      </c>
      <c r="C24" s="456">
        <v>1261.22</v>
      </c>
      <c r="D24" s="457">
        <v>1576.5249999999999</v>
      </c>
      <c r="E24" s="457">
        <v>2049.4825000000001</v>
      </c>
      <c r="F24" s="456">
        <v>1261.22</v>
      </c>
      <c r="G24" s="457">
        <v>1576.5249999999999</v>
      </c>
      <c r="H24" s="457">
        <v>2049.4825000000001</v>
      </c>
    </row>
    <row r="25" spans="2:8" x14ac:dyDescent="0.3">
      <c r="B25" s="157" t="s">
        <v>3070</v>
      </c>
      <c r="C25" s="456">
        <v>43575.12</v>
      </c>
      <c r="D25" s="457">
        <v>56647.656000000003</v>
      </c>
      <c r="E25" s="457"/>
      <c r="F25" s="456">
        <v>43575.12</v>
      </c>
      <c r="G25" s="457">
        <v>56647.656000000003</v>
      </c>
      <c r="H25" s="457">
        <v>70809.569999999992</v>
      </c>
    </row>
    <row r="26" spans="2:8" x14ac:dyDescent="0.3">
      <c r="B26" s="157" t="s">
        <v>3069</v>
      </c>
      <c r="C26" s="456">
        <v>13850</v>
      </c>
      <c r="D26" s="457">
        <v>17312.5</v>
      </c>
      <c r="E26" s="457">
        <v>22506.25</v>
      </c>
      <c r="F26" s="456">
        <v>13850</v>
      </c>
      <c r="G26" s="457">
        <v>17312.5</v>
      </c>
      <c r="H26" s="457">
        <v>22506.25</v>
      </c>
    </row>
    <row r="27" spans="2:8" x14ac:dyDescent="0.3">
      <c r="B27" s="157" t="s">
        <v>1069</v>
      </c>
      <c r="C27" s="456">
        <v>595</v>
      </c>
      <c r="D27" s="457">
        <v>773.5</v>
      </c>
      <c r="E27" s="457">
        <v>966.875</v>
      </c>
      <c r="F27" s="456">
        <v>595</v>
      </c>
      <c r="G27" s="457">
        <v>773.5</v>
      </c>
      <c r="H27" s="457">
        <v>966.875</v>
      </c>
    </row>
    <row r="28" spans="2:8" x14ac:dyDescent="0.3">
      <c r="B28" s="157" t="s">
        <v>1070</v>
      </c>
      <c r="C28" s="456">
        <v>13213.44</v>
      </c>
      <c r="D28" s="457">
        <v>16516.8</v>
      </c>
      <c r="E28" s="457">
        <v>21471.84</v>
      </c>
      <c r="F28" s="456">
        <v>13213.44</v>
      </c>
      <c r="G28" s="457">
        <v>16516.8</v>
      </c>
      <c r="H28" s="457">
        <v>21471.84</v>
      </c>
    </row>
    <row r="29" spans="2:8" x14ac:dyDescent="0.3">
      <c r="B29" s="157" t="s">
        <v>1071</v>
      </c>
      <c r="C29" s="456">
        <v>191.27</v>
      </c>
      <c r="D29" s="457">
        <v>248.65100000000001</v>
      </c>
      <c r="E29" s="457">
        <v>310.81374999999997</v>
      </c>
      <c r="F29" s="456">
        <v>191.27</v>
      </c>
      <c r="G29" s="457">
        <v>248.65100000000001</v>
      </c>
      <c r="H29" s="457"/>
    </row>
    <row r="30" spans="2:8" x14ac:dyDescent="0.3">
      <c r="B30" s="157" t="s">
        <v>1072</v>
      </c>
      <c r="C30" s="456">
        <v>911.66</v>
      </c>
      <c r="D30" s="457"/>
      <c r="E30" s="457">
        <v>1481.4474999999998</v>
      </c>
      <c r="F30" s="456">
        <v>911.66</v>
      </c>
      <c r="G30" s="457">
        <v>1139.5749999999998</v>
      </c>
      <c r="H30" s="457">
        <v>1481.4474999999998</v>
      </c>
    </row>
    <row r="31" spans="2:8" x14ac:dyDescent="0.3">
      <c r="B31" s="157" t="s">
        <v>1073</v>
      </c>
      <c r="C31" s="456">
        <v>4113.07</v>
      </c>
      <c r="D31" s="457">
        <v>5346.991</v>
      </c>
      <c r="E31" s="457">
        <v>6683.7387499999995</v>
      </c>
      <c r="F31" s="456">
        <v>4113.07</v>
      </c>
      <c r="G31" s="457">
        <v>5346.991</v>
      </c>
      <c r="H31" s="457">
        <v>6683.7387499999995</v>
      </c>
    </row>
    <row r="32" spans="2:8" x14ac:dyDescent="0.3">
      <c r="B32" s="157" t="s">
        <v>1074</v>
      </c>
      <c r="C32" s="336">
        <v>500</v>
      </c>
      <c r="D32" s="328">
        <v>650</v>
      </c>
      <c r="E32" s="328">
        <v>812.5</v>
      </c>
      <c r="F32" s="336">
        <v>500</v>
      </c>
      <c r="G32" s="328">
        <v>650</v>
      </c>
      <c r="H32" s="457">
        <v>812.5</v>
      </c>
    </row>
    <row r="33" spans="2:8" x14ac:dyDescent="0.3">
      <c r="B33" s="157" t="s">
        <v>176</v>
      </c>
      <c r="C33" s="336">
        <v>200</v>
      </c>
      <c r="D33" s="328">
        <v>250</v>
      </c>
      <c r="E33" s="328">
        <v>325</v>
      </c>
      <c r="F33" s="336"/>
      <c r="G33" s="328">
        <v>250</v>
      </c>
      <c r="H33" s="457">
        <v>325</v>
      </c>
    </row>
    <row r="34" spans="2:8" x14ac:dyDescent="0.3">
      <c r="B34" s="164" t="s">
        <v>723</v>
      </c>
      <c r="C34" s="457"/>
      <c r="D34" s="457"/>
      <c r="E34" s="457"/>
    </row>
    <row r="35" spans="2:8" ht="16.2" thickBot="1" x14ac:dyDescent="0.35">
      <c r="B35" s="164" t="s">
        <v>1075</v>
      </c>
      <c r="C35" s="458">
        <f>SUM(C6:C31)</f>
        <v>337316.78</v>
      </c>
      <c r="D35" s="458">
        <f t="shared" ref="D35:H35" si="0">SUM(D6:D31)</f>
        <v>425958.53149999998</v>
      </c>
      <c r="E35" s="458">
        <f t="shared" si="0"/>
        <v>476612.14250000002</v>
      </c>
      <c r="F35" s="458">
        <f t="shared" si="0"/>
        <v>337666.4</v>
      </c>
      <c r="G35" s="458">
        <f t="shared" si="0"/>
        <v>400750.261</v>
      </c>
      <c r="H35" s="458">
        <f t="shared" si="0"/>
        <v>547760.89875000005</v>
      </c>
    </row>
    <row r="36" spans="2:8" ht="16.2" thickTop="1" x14ac:dyDescent="0.3"/>
  </sheetData>
  <mergeCells count="1">
    <mergeCell ref="C3:H3"/>
  </mergeCells>
  <conditionalFormatting sqref="B5 B7:B35 C4:H35">
    <cfRule type="expression" dxfId="11" priority="2" stopIfTrue="1">
      <formula>"istext(b3:i34)"</formula>
    </cfRule>
  </conditionalFormatting>
  <conditionalFormatting sqref="B6">
    <cfRule type="expression" dxfId="10" priority="1" stopIfTrue="1">
      <formula>"istext(b3)"</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showGridLines="0" zoomScaleNormal="100" workbookViewId="0">
      <selection activeCell="E11" sqref="E11"/>
    </sheetView>
  </sheetViews>
  <sheetFormatPr defaultColWidth="9.109375" defaultRowHeight="15.6" x14ac:dyDescent="0.3"/>
  <cols>
    <col min="1" max="1" width="12.88671875" style="142" customWidth="1"/>
    <col min="2" max="2" width="9" style="142" bestFit="1" customWidth="1"/>
    <col min="3" max="3" width="8" style="142" bestFit="1" customWidth="1"/>
    <col min="4" max="4" width="9.88671875" style="142" bestFit="1" customWidth="1"/>
    <col min="5" max="5" width="22.6640625" style="142" customWidth="1"/>
    <col min="6" max="6" width="31.33203125" style="142" customWidth="1"/>
    <col min="7" max="7" width="28.6640625" style="142" customWidth="1"/>
    <col min="8" max="8" width="15.33203125" style="142" bestFit="1" customWidth="1"/>
    <col min="9" max="9" width="31.5546875" style="142" bestFit="1" customWidth="1"/>
    <col min="10" max="16384" width="9.109375" style="142"/>
  </cols>
  <sheetData>
    <row r="1" spans="1:10" ht="23.4" x14ac:dyDescent="0.45">
      <c r="A1" s="33" t="s">
        <v>249</v>
      </c>
      <c r="D1" s="142" t="s">
        <v>1078</v>
      </c>
      <c r="F1" s="174">
        <f>COUNTIF($F$6:$F$120,"")</f>
        <v>53</v>
      </c>
      <c r="J1" s="634" t="s">
        <v>3016</v>
      </c>
    </row>
    <row r="2" spans="1:10" ht="23.4" x14ac:dyDescent="0.45">
      <c r="A2" s="33"/>
      <c r="D2" s="142" t="s">
        <v>1079</v>
      </c>
      <c r="F2" s="174">
        <f>COUNTIF($C$6:$C$120,"Sale")</f>
        <v>57</v>
      </c>
    </row>
    <row r="3" spans="1:10" x14ac:dyDescent="0.3">
      <c r="D3" s="142" t="s">
        <v>1080</v>
      </c>
      <c r="F3" s="174">
        <f>COUNTIF($C$6:$C$120,"Service")</f>
        <v>31</v>
      </c>
    </row>
    <row r="4" spans="1:10" x14ac:dyDescent="0.3">
      <c r="D4" s="142" t="s">
        <v>1081</v>
      </c>
      <c r="F4" s="174">
        <f>COUNTIF($C$6:$C$120,"Support")</f>
        <v>27</v>
      </c>
    </row>
    <row r="5" spans="1:10" s="452" customFormat="1" ht="31.8" thickBot="1" x14ac:dyDescent="0.35">
      <c r="A5" s="253" t="s">
        <v>1016</v>
      </c>
      <c r="B5" s="253" t="s">
        <v>725</v>
      </c>
      <c r="C5" s="253" t="s">
        <v>264</v>
      </c>
      <c r="D5" s="450" t="s">
        <v>1020</v>
      </c>
      <c r="E5" s="253" t="s">
        <v>726</v>
      </c>
      <c r="F5" s="253" t="s">
        <v>182</v>
      </c>
      <c r="G5" s="253" t="s">
        <v>175</v>
      </c>
      <c r="H5" s="253" t="s">
        <v>184</v>
      </c>
      <c r="I5" s="253" t="s">
        <v>1015</v>
      </c>
      <c r="J5" s="451"/>
    </row>
    <row r="6" spans="1:10" x14ac:dyDescent="0.3">
      <c r="A6" s="252">
        <v>41754</v>
      </c>
      <c r="B6" s="142">
        <v>3245</v>
      </c>
      <c r="C6" s="142" t="s">
        <v>1017</v>
      </c>
      <c r="D6" s="453">
        <v>3445</v>
      </c>
      <c r="E6" s="265" t="s">
        <v>727</v>
      </c>
      <c r="F6" s="265" t="s">
        <v>728</v>
      </c>
      <c r="G6" s="265" t="s">
        <v>729</v>
      </c>
      <c r="H6" s="265" t="s">
        <v>730</v>
      </c>
      <c r="I6" s="265"/>
      <c r="J6" s="428"/>
    </row>
    <row r="7" spans="1:10" x14ac:dyDescent="0.3">
      <c r="A7" s="252">
        <v>41755</v>
      </c>
      <c r="B7" s="142">
        <v>3246</v>
      </c>
      <c r="C7" s="142" t="s">
        <v>1018</v>
      </c>
      <c r="D7" s="453">
        <v>545</v>
      </c>
      <c r="E7" s="265" t="s">
        <v>731</v>
      </c>
      <c r="F7" s="265" t="s">
        <v>732</v>
      </c>
      <c r="G7" s="265" t="s">
        <v>733</v>
      </c>
      <c r="H7" s="265" t="s">
        <v>734</v>
      </c>
      <c r="I7" s="265" t="s">
        <v>735</v>
      </c>
      <c r="J7" s="428"/>
    </row>
    <row r="8" spans="1:10" x14ac:dyDescent="0.3">
      <c r="A8" s="252">
        <v>41756</v>
      </c>
      <c r="B8" s="142">
        <v>3247</v>
      </c>
      <c r="C8" s="142" t="s">
        <v>1019</v>
      </c>
      <c r="D8" s="453">
        <v>600</v>
      </c>
      <c r="E8" s="265" t="s">
        <v>736</v>
      </c>
      <c r="F8" s="265"/>
      <c r="G8" s="265"/>
      <c r="H8" s="265"/>
      <c r="I8" s="265"/>
      <c r="J8" s="428"/>
    </row>
    <row r="9" spans="1:10" x14ac:dyDescent="0.3">
      <c r="A9" s="252">
        <v>41757</v>
      </c>
      <c r="B9" s="142">
        <v>3248</v>
      </c>
      <c r="C9" s="142" t="s">
        <v>1017</v>
      </c>
      <c r="D9" s="453">
        <v>7445</v>
      </c>
      <c r="E9" s="265" t="s">
        <v>737</v>
      </c>
      <c r="F9" s="265"/>
      <c r="G9" s="265"/>
      <c r="H9" s="265"/>
      <c r="I9" s="265"/>
      <c r="J9" s="428"/>
    </row>
    <row r="10" spans="1:10" x14ac:dyDescent="0.3">
      <c r="A10" s="252">
        <v>41758</v>
      </c>
      <c r="B10" s="142">
        <v>3249</v>
      </c>
      <c r="C10" s="142" t="s">
        <v>1017</v>
      </c>
      <c r="D10" s="453">
        <v>2546</v>
      </c>
      <c r="E10" s="265" t="s">
        <v>738</v>
      </c>
      <c r="F10" s="265"/>
      <c r="G10" s="265"/>
      <c r="H10" s="265"/>
      <c r="I10" s="265"/>
      <c r="J10" s="428"/>
    </row>
    <row r="11" spans="1:10" x14ac:dyDescent="0.3">
      <c r="A11" s="252">
        <v>41759</v>
      </c>
      <c r="B11" s="142">
        <v>3250</v>
      </c>
      <c r="C11" s="142" t="s">
        <v>1018</v>
      </c>
      <c r="D11" s="453">
        <v>354</v>
      </c>
      <c r="E11" s="265" t="s">
        <v>739</v>
      </c>
      <c r="F11" s="265"/>
      <c r="G11" s="265"/>
      <c r="H11" s="265"/>
      <c r="I11" s="265"/>
      <c r="J11" s="428"/>
    </row>
    <row r="12" spans="1:10" x14ac:dyDescent="0.3">
      <c r="A12" s="252">
        <v>41762</v>
      </c>
      <c r="B12" s="142">
        <v>3251</v>
      </c>
      <c r="C12" s="142" t="s">
        <v>1019</v>
      </c>
      <c r="D12" s="453">
        <v>1200</v>
      </c>
      <c r="E12" s="265" t="s">
        <v>740</v>
      </c>
      <c r="F12" s="265"/>
      <c r="G12" s="265"/>
      <c r="H12" s="265"/>
      <c r="I12" s="265"/>
      <c r="J12" s="428"/>
    </row>
    <row r="13" spans="1:10" x14ac:dyDescent="0.3">
      <c r="A13" s="252">
        <v>41763</v>
      </c>
      <c r="B13" s="142">
        <v>3252</v>
      </c>
      <c r="C13" s="142" t="s">
        <v>1017</v>
      </c>
      <c r="D13" s="453">
        <v>665</v>
      </c>
      <c r="E13" s="265" t="s">
        <v>741</v>
      </c>
      <c r="F13" s="265" t="s">
        <v>742</v>
      </c>
      <c r="G13" s="265" t="s">
        <v>743</v>
      </c>
      <c r="H13" s="265" t="s">
        <v>744</v>
      </c>
      <c r="I13" s="265" t="s">
        <v>745</v>
      </c>
      <c r="J13" s="428"/>
    </row>
    <row r="14" spans="1:10" x14ac:dyDescent="0.3">
      <c r="A14" s="252">
        <v>41766</v>
      </c>
      <c r="B14" s="142">
        <v>3253</v>
      </c>
      <c r="C14" s="142" t="s">
        <v>1017</v>
      </c>
      <c r="D14" s="453">
        <v>3466</v>
      </c>
      <c r="E14" s="265" t="s">
        <v>746</v>
      </c>
      <c r="F14" s="265" t="s">
        <v>747</v>
      </c>
      <c r="G14" s="266" t="s">
        <v>748</v>
      </c>
      <c r="H14" s="265" t="s">
        <v>749</v>
      </c>
      <c r="I14" s="265" t="s">
        <v>750</v>
      </c>
      <c r="J14" s="428"/>
    </row>
    <row r="15" spans="1:10" x14ac:dyDescent="0.3">
      <c r="A15" s="252">
        <v>41769</v>
      </c>
      <c r="B15" s="142">
        <v>3254</v>
      </c>
      <c r="C15" s="142" t="s">
        <v>1018</v>
      </c>
      <c r="D15" s="453">
        <v>546</v>
      </c>
      <c r="E15" s="265" t="s">
        <v>751</v>
      </c>
      <c r="F15" s="265"/>
      <c r="G15" s="265"/>
      <c r="H15" s="265"/>
      <c r="I15" s="265"/>
      <c r="J15" s="428"/>
    </row>
    <row r="16" spans="1:10" x14ac:dyDescent="0.3">
      <c r="A16" s="252">
        <v>41770</v>
      </c>
      <c r="B16" s="142">
        <v>3255</v>
      </c>
      <c r="C16" s="142" t="s">
        <v>1019</v>
      </c>
      <c r="D16" s="453">
        <v>600</v>
      </c>
      <c r="E16" s="265" t="s">
        <v>752</v>
      </c>
      <c r="F16" s="265" t="s">
        <v>753</v>
      </c>
      <c r="G16" s="265" t="s">
        <v>754</v>
      </c>
      <c r="H16" s="265" t="s">
        <v>755</v>
      </c>
      <c r="I16" s="265"/>
      <c r="J16" s="428"/>
    </row>
    <row r="17" spans="1:10" x14ac:dyDescent="0.3">
      <c r="A17" s="252">
        <v>41771</v>
      </c>
      <c r="B17" s="142">
        <v>3256</v>
      </c>
      <c r="C17" s="142" t="s">
        <v>1017</v>
      </c>
      <c r="D17" s="453">
        <v>7764</v>
      </c>
      <c r="E17" s="265" t="s">
        <v>756</v>
      </c>
      <c r="F17" s="265"/>
      <c r="G17" s="265"/>
      <c r="H17" s="265"/>
      <c r="I17" s="265"/>
      <c r="J17" s="428"/>
    </row>
    <row r="18" spans="1:10" x14ac:dyDescent="0.3">
      <c r="A18" s="252">
        <v>41773</v>
      </c>
      <c r="B18" s="142">
        <v>3257</v>
      </c>
      <c r="C18" s="142" t="s">
        <v>1017</v>
      </c>
      <c r="D18" s="453">
        <v>434</v>
      </c>
      <c r="E18" s="266" t="s">
        <v>757</v>
      </c>
      <c r="F18" s="265"/>
      <c r="G18" s="265" t="s">
        <v>758</v>
      </c>
      <c r="H18" s="265" t="s">
        <v>759</v>
      </c>
      <c r="I18" s="265"/>
      <c r="J18" s="428"/>
    </row>
    <row r="19" spans="1:10" x14ac:dyDescent="0.3">
      <c r="A19" s="252">
        <v>41776</v>
      </c>
      <c r="B19" s="142">
        <v>3258</v>
      </c>
      <c r="C19" s="142" t="s">
        <v>1018</v>
      </c>
      <c r="D19" s="453">
        <v>866</v>
      </c>
      <c r="E19" s="265" t="s">
        <v>760</v>
      </c>
      <c r="F19" s="265" t="s">
        <v>761</v>
      </c>
      <c r="G19" s="265" t="s">
        <v>754</v>
      </c>
      <c r="H19" s="265" t="s">
        <v>762</v>
      </c>
      <c r="I19" s="265"/>
      <c r="J19" s="428"/>
    </row>
    <row r="20" spans="1:10" x14ac:dyDescent="0.3">
      <c r="A20" s="252">
        <v>41777</v>
      </c>
      <c r="B20" s="142">
        <v>3259</v>
      </c>
      <c r="C20" s="142" t="s">
        <v>1019</v>
      </c>
      <c r="D20" s="453">
        <v>600</v>
      </c>
      <c r="E20" s="265" t="s">
        <v>763</v>
      </c>
      <c r="F20" s="265" t="s">
        <v>764</v>
      </c>
      <c r="G20" s="265" t="s">
        <v>765</v>
      </c>
      <c r="H20" s="265" t="s">
        <v>766</v>
      </c>
      <c r="I20" s="265" t="s">
        <v>767</v>
      </c>
      <c r="J20" s="428"/>
    </row>
    <row r="21" spans="1:10" x14ac:dyDescent="0.3">
      <c r="A21" s="252">
        <v>41779</v>
      </c>
      <c r="B21" s="142">
        <v>3260</v>
      </c>
      <c r="C21" s="142" t="s">
        <v>1017</v>
      </c>
      <c r="D21" s="453">
        <v>5747</v>
      </c>
      <c r="E21" s="265" t="s">
        <v>768</v>
      </c>
      <c r="F21" s="265" t="s">
        <v>769</v>
      </c>
      <c r="G21" s="265" t="s">
        <v>770</v>
      </c>
      <c r="H21" s="265" t="s">
        <v>771</v>
      </c>
      <c r="I21" s="265"/>
      <c r="J21" s="428"/>
    </row>
    <row r="22" spans="1:10" x14ac:dyDescent="0.3">
      <c r="A22" s="252">
        <v>41782</v>
      </c>
      <c r="B22" s="142">
        <v>3261</v>
      </c>
      <c r="C22" s="142" t="s">
        <v>1017</v>
      </c>
      <c r="D22" s="453">
        <v>577</v>
      </c>
      <c r="E22" s="265" t="s">
        <v>772</v>
      </c>
      <c r="F22" s="265"/>
      <c r="G22" s="265"/>
      <c r="H22" s="265"/>
      <c r="I22" s="265"/>
      <c r="J22" s="428"/>
    </row>
    <row r="23" spans="1:10" x14ac:dyDescent="0.3">
      <c r="A23" s="252">
        <v>41783</v>
      </c>
      <c r="B23" s="142">
        <v>3262</v>
      </c>
      <c r="C23" s="142" t="s">
        <v>1018</v>
      </c>
      <c r="D23" s="453">
        <v>876</v>
      </c>
      <c r="E23" s="265" t="s">
        <v>773</v>
      </c>
      <c r="F23" s="265"/>
      <c r="G23" s="265"/>
      <c r="H23" s="265"/>
      <c r="I23" s="265"/>
      <c r="J23" s="428"/>
    </row>
    <row r="24" spans="1:10" x14ac:dyDescent="0.3">
      <c r="A24" s="252">
        <v>41785</v>
      </c>
      <c r="B24" s="142">
        <v>3263</v>
      </c>
      <c r="C24" s="142" t="s">
        <v>1019</v>
      </c>
      <c r="D24" s="453">
        <v>1200</v>
      </c>
      <c r="E24" s="265" t="s">
        <v>774</v>
      </c>
      <c r="F24" s="265" t="s">
        <v>775</v>
      </c>
      <c r="G24" s="265" t="s">
        <v>776</v>
      </c>
      <c r="H24" s="265" t="s">
        <v>777</v>
      </c>
      <c r="I24" s="265"/>
      <c r="J24" s="428"/>
    </row>
    <row r="25" spans="1:10" x14ac:dyDescent="0.3">
      <c r="A25" s="252">
        <v>41788</v>
      </c>
      <c r="B25" s="142">
        <v>3264</v>
      </c>
      <c r="C25" s="142" t="s">
        <v>1017</v>
      </c>
      <c r="D25" s="453">
        <v>8658</v>
      </c>
      <c r="E25" s="265" t="s">
        <v>778</v>
      </c>
      <c r="F25" s="265" t="s">
        <v>779</v>
      </c>
      <c r="G25" s="265" t="s">
        <v>780</v>
      </c>
      <c r="H25" s="266" t="s">
        <v>781</v>
      </c>
      <c r="I25" s="265" t="s">
        <v>782</v>
      </c>
      <c r="J25" s="428"/>
    </row>
    <row r="26" spans="1:10" x14ac:dyDescent="0.3">
      <c r="A26" s="252">
        <v>41789</v>
      </c>
      <c r="B26" s="142">
        <v>3265</v>
      </c>
      <c r="C26" s="142" t="s">
        <v>1017</v>
      </c>
      <c r="D26" s="453">
        <v>4753</v>
      </c>
      <c r="E26" s="265" t="s">
        <v>783</v>
      </c>
      <c r="F26" s="265"/>
      <c r="G26" s="265"/>
      <c r="H26" s="265"/>
      <c r="I26" s="265"/>
      <c r="J26" s="428"/>
    </row>
    <row r="27" spans="1:10" x14ac:dyDescent="0.3">
      <c r="A27" s="252">
        <v>41790</v>
      </c>
      <c r="B27" s="142">
        <v>3266</v>
      </c>
      <c r="C27" s="142" t="s">
        <v>1018</v>
      </c>
      <c r="D27" s="453">
        <v>975</v>
      </c>
      <c r="E27" s="265" t="s">
        <v>784</v>
      </c>
      <c r="F27" s="265"/>
      <c r="G27" s="265"/>
      <c r="H27" s="265"/>
      <c r="I27" s="265"/>
      <c r="J27" s="428"/>
    </row>
    <row r="28" spans="1:10" x14ac:dyDescent="0.3">
      <c r="A28" s="252">
        <v>41792</v>
      </c>
      <c r="B28" s="142">
        <v>3267</v>
      </c>
      <c r="C28" s="142" t="s">
        <v>1019</v>
      </c>
      <c r="D28" s="453">
        <v>1800</v>
      </c>
      <c r="E28" s="265" t="s">
        <v>785</v>
      </c>
      <c r="F28" s="265" t="s">
        <v>786</v>
      </c>
      <c r="G28" s="265" t="s">
        <v>787</v>
      </c>
      <c r="H28" s="265" t="s">
        <v>788</v>
      </c>
      <c r="I28" s="265" t="s">
        <v>789</v>
      </c>
      <c r="J28" s="428"/>
    </row>
    <row r="29" spans="1:10" x14ac:dyDescent="0.3">
      <c r="A29" s="252">
        <v>41794</v>
      </c>
      <c r="B29" s="142">
        <v>3268</v>
      </c>
      <c r="C29" s="142" t="s">
        <v>1017</v>
      </c>
      <c r="D29" s="453">
        <v>754</v>
      </c>
      <c r="E29" s="265" t="s">
        <v>790</v>
      </c>
      <c r="F29" s="265"/>
      <c r="G29" s="265"/>
      <c r="H29" s="265"/>
      <c r="I29" s="265"/>
      <c r="J29" s="428"/>
    </row>
    <row r="30" spans="1:10" x14ac:dyDescent="0.3">
      <c r="A30" s="252">
        <v>41795</v>
      </c>
      <c r="B30" s="142">
        <v>3269</v>
      </c>
      <c r="C30" s="142" t="s">
        <v>1017</v>
      </c>
      <c r="D30" s="453">
        <v>3678</v>
      </c>
      <c r="E30" s="265" t="s">
        <v>791</v>
      </c>
      <c r="F30" s="265" t="s">
        <v>792</v>
      </c>
      <c r="G30" s="265" t="s">
        <v>793</v>
      </c>
      <c r="H30" s="265" t="s">
        <v>794</v>
      </c>
      <c r="I30" s="265"/>
      <c r="J30" s="428"/>
    </row>
    <row r="31" spans="1:10" x14ac:dyDescent="0.3">
      <c r="A31" s="252">
        <v>41796</v>
      </c>
      <c r="B31" s="142">
        <v>3270</v>
      </c>
      <c r="C31" s="142" t="s">
        <v>1018</v>
      </c>
      <c r="D31" s="453">
        <v>54</v>
      </c>
      <c r="E31" s="265" t="s">
        <v>795</v>
      </c>
      <c r="F31" s="265"/>
      <c r="G31" s="265"/>
      <c r="H31" s="265"/>
      <c r="I31" s="265"/>
      <c r="J31" s="428"/>
    </row>
    <row r="32" spans="1:10" x14ac:dyDescent="0.3">
      <c r="A32" s="252">
        <v>41797</v>
      </c>
      <c r="B32" s="142">
        <v>3271</v>
      </c>
      <c r="C32" s="142" t="s">
        <v>1019</v>
      </c>
      <c r="D32" s="453">
        <v>600</v>
      </c>
      <c r="E32" s="265" t="s">
        <v>796</v>
      </c>
      <c r="F32" s="265"/>
      <c r="G32" s="265"/>
      <c r="H32" s="265"/>
      <c r="I32" s="265"/>
      <c r="J32" s="428"/>
    </row>
    <row r="33" spans="1:10" x14ac:dyDescent="0.3">
      <c r="A33" s="252">
        <v>41799</v>
      </c>
      <c r="B33" s="142">
        <v>3272</v>
      </c>
      <c r="C33" s="142" t="s">
        <v>1017</v>
      </c>
      <c r="D33" s="453">
        <v>754</v>
      </c>
      <c r="E33" s="265" t="s">
        <v>797</v>
      </c>
      <c r="F33" s="265"/>
      <c r="G33" s="265"/>
      <c r="H33" s="265"/>
      <c r="I33" s="265"/>
      <c r="J33" s="428"/>
    </row>
    <row r="34" spans="1:10" x14ac:dyDescent="0.3">
      <c r="A34" s="252">
        <v>41800</v>
      </c>
      <c r="B34" s="142">
        <v>3273</v>
      </c>
      <c r="C34" s="142" t="s">
        <v>1017</v>
      </c>
      <c r="D34" s="453">
        <v>878</v>
      </c>
      <c r="E34" s="265" t="s">
        <v>798</v>
      </c>
      <c r="F34" s="265" t="s">
        <v>799</v>
      </c>
      <c r="G34" s="265" t="s">
        <v>729</v>
      </c>
      <c r="H34" s="265" t="s">
        <v>800</v>
      </c>
      <c r="I34" s="265" t="s">
        <v>801</v>
      </c>
      <c r="J34" s="428"/>
    </row>
    <row r="35" spans="1:10" x14ac:dyDescent="0.3">
      <c r="A35" s="252">
        <v>41801</v>
      </c>
      <c r="B35" s="142">
        <v>3274</v>
      </c>
      <c r="C35" s="142" t="s">
        <v>1018</v>
      </c>
      <c r="D35" s="453">
        <v>758</v>
      </c>
      <c r="E35" s="265" t="s">
        <v>802</v>
      </c>
      <c r="F35" s="265" t="s">
        <v>803</v>
      </c>
      <c r="G35" s="265" t="s">
        <v>770</v>
      </c>
      <c r="H35" s="265"/>
      <c r="I35" s="265"/>
      <c r="J35" s="428"/>
    </row>
    <row r="36" spans="1:10" x14ac:dyDescent="0.3">
      <c r="A36" s="252">
        <v>41804</v>
      </c>
      <c r="B36" s="142">
        <v>3275</v>
      </c>
      <c r="C36" s="142" t="s">
        <v>1019</v>
      </c>
      <c r="D36" s="453">
        <v>600</v>
      </c>
      <c r="E36" s="265" t="s">
        <v>804</v>
      </c>
      <c r="F36" s="265" t="s">
        <v>1076</v>
      </c>
      <c r="G36" s="265" t="s">
        <v>1077</v>
      </c>
      <c r="H36" s="265"/>
      <c r="I36" s="265"/>
      <c r="J36" s="428"/>
    </row>
    <row r="37" spans="1:10" x14ac:dyDescent="0.3">
      <c r="A37" s="252">
        <v>41806</v>
      </c>
      <c r="B37" s="142">
        <v>3276</v>
      </c>
      <c r="C37" s="142" t="s">
        <v>1017</v>
      </c>
      <c r="D37" s="453">
        <v>9885</v>
      </c>
      <c r="E37" s="265" t="s">
        <v>805</v>
      </c>
      <c r="F37" s="265"/>
      <c r="G37" s="265"/>
      <c r="H37" s="265"/>
      <c r="I37" s="265"/>
      <c r="J37" s="428"/>
    </row>
    <row r="38" spans="1:10" x14ac:dyDescent="0.3">
      <c r="A38" s="252">
        <v>41808</v>
      </c>
      <c r="B38" s="142">
        <v>3277</v>
      </c>
      <c r="C38" s="142" t="s">
        <v>1017</v>
      </c>
      <c r="D38" s="453">
        <v>6745</v>
      </c>
      <c r="E38" s="265" t="s">
        <v>806</v>
      </c>
      <c r="F38" s="265"/>
      <c r="G38" s="265"/>
      <c r="H38" s="265"/>
      <c r="I38" s="265"/>
      <c r="J38" s="428"/>
    </row>
    <row r="39" spans="1:10" x14ac:dyDescent="0.3">
      <c r="A39" s="252">
        <v>41810</v>
      </c>
      <c r="B39" s="142">
        <v>3278</v>
      </c>
      <c r="C39" s="142" t="s">
        <v>1018</v>
      </c>
      <c r="D39" s="453">
        <v>864</v>
      </c>
      <c r="E39" s="266" t="s">
        <v>807</v>
      </c>
      <c r="F39" s="265"/>
      <c r="G39" s="265"/>
      <c r="H39" s="265"/>
      <c r="I39" s="265"/>
      <c r="J39" s="428"/>
    </row>
    <row r="40" spans="1:10" x14ac:dyDescent="0.3">
      <c r="A40" s="252">
        <v>41813</v>
      </c>
      <c r="B40" s="142">
        <v>3279</v>
      </c>
      <c r="C40" s="142" t="s">
        <v>1019</v>
      </c>
      <c r="D40" s="453">
        <v>600</v>
      </c>
      <c r="E40" s="266" t="s">
        <v>808</v>
      </c>
      <c r="F40" s="265"/>
      <c r="G40" s="265"/>
      <c r="H40" s="265"/>
      <c r="I40" s="265"/>
      <c r="J40" s="428"/>
    </row>
    <row r="41" spans="1:10" x14ac:dyDescent="0.3">
      <c r="A41" s="252">
        <v>41814</v>
      </c>
      <c r="B41" s="142">
        <v>3280</v>
      </c>
      <c r="C41" s="142" t="s">
        <v>1017</v>
      </c>
      <c r="D41" s="453">
        <v>5792.6944444444398</v>
      </c>
      <c r="E41" s="265" t="s">
        <v>809</v>
      </c>
      <c r="F41" s="265"/>
      <c r="G41" s="265"/>
      <c r="H41" s="265"/>
      <c r="I41" s="265"/>
      <c r="J41" s="428"/>
    </row>
    <row r="42" spans="1:10" x14ac:dyDescent="0.3">
      <c r="A42" s="252">
        <v>41815</v>
      </c>
      <c r="B42" s="142">
        <v>3281</v>
      </c>
      <c r="C42" s="142" t="s">
        <v>1017</v>
      </c>
      <c r="D42" s="453">
        <v>6136.0777777777703</v>
      </c>
      <c r="E42" s="265" t="s">
        <v>810</v>
      </c>
      <c r="F42" s="265" t="s">
        <v>811</v>
      </c>
      <c r="G42" s="266" t="s">
        <v>812</v>
      </c>
      <c r="H42" s="265"/>
      <c r="I42" s="265"/>
      <c r="J42" s="428"/>
    </row>
    <row r="43" spans="1:10" x14ac:dyDescent="0.3">
      <c r="A43" s="252">
        <v>41817</v>
      </c>
      <c r="B43" s="142">
        <v>3282</v>
      </c>
      <c r="C43" s="142" t="s">
        <v>1018</v>
      </c>
      <c r="D43" s="453">
        <v>783.08333333333303</v>
      </c>
      <c r="E43" s="265" t="s">
        <v>813</v>
      </c>
      <c r="F43" s="265" t="s">
        <v>814</v>
      </c>
      <c r="G43" s="265" t="s">
        <v>815</v>
      </c>
      <c r="H43" s="265" t="s">
        <v>816</v>
      </c>
      <c r="I43" s="265"/>
      <c r="J43" s="428"/>
    </row>
    <row r="44" spans="1:10" x14ac:dyDescent="0.3">
      <c r="A44" s="252">
        <v>41820</v>
      </c>
      <c r="B44" s="142">
        <v>3283</v>
      </c>
      <c r="C44" s="142" t="s">
        <v>1019</v>
      </c>
      <c r="D44" s="453">
        <v>1200</v>
      </c>
      <c r="E44" s="265" t="s">
        <v>817</v>
      </c>
      <c r="F44" s="265" t="s">
        <v>818</v>
      </c>
      <c r="G44" s="265" t="s">
        <v>815</v>
      </c>
      <c r="H44" s="265" t="s">
        <v>819</v>
      </c>
      <c r="I44" s="265"/>
      <c r="J44" s="428"/>
    </row>
    <row r="45" spans="1:10" x14ac:dyDescent="0.3">
      <c r="A45" s="252">
        <v>41823</v>
      </c>
      <c r="B45" s="142">
        <v>3284</v>
      </c>
      <c r="C45" s="142" t="s">
        <v>1017</v>
      </c>
      <c r="D45" s="453">
        <v>6479.4611111111099</v>
      </c>
      <c r="E45" s="265" t="s">
        <v>820</v>
      </c>
      <c r="F45" s="265"/>
      <c r="G45" s="265"/>
      <c r="H45" s="265"/>
      <c r="I45" s="265"/>
      <c r="J45" s="428"/>
    </row>
    <row r="46" spans="1:10" x14ac:dyDescent="0.3">
      <c r="A46" s="252">
        <v>41825</v>
      </c>
      <c r="B46" s="142">
        <v>3285</v>
      </c>
      <c r="C46" s="142" t="s">
        <v>1017</v>
      </c>
      <c r="D46" s="453">
        <v>6822.8444444444403</v>
      </c>
      <c r="E46" s="265" t="s">
        <v>821</v>
      </c>
      <c r="F46" s="265"/>
      <c r="G46" s="265"/>
      <c r="H46" s="265"/>
      <c r="I46" s="265"/>
      <c r="J46" s="428"/>
    </row>
    <row r="47" spans="1:10" x14ac:dyDescent="0.3">
      <c r="A47" s="252">
        <v>41827</v>
      </c>
      <c r="B47" s="142">
        <v>3286</v>
      </c>
      <c r="C47" s="142" t="s">
        <v>1018</v>
      </c>
      <c r="D47" s="453">
        <v>809.96666666666601</v>
      </c>
      <c r="E47" s="265" t="s">
        <v>822</v>
      </c>
      <c r="F47" s="265"/>
      <c r="G47" s="265"/>
      <c r="H47" s="265"/>
      <c r="I47" s="265"/>
      <c r="J47" s="428"/>
    </row>
    <row r="48" spans="1:10" x14ac:dyDescent="0.3">
      <c r="A48" s="252">
        <v>41829</v>
      </c>
      <c r="B48" s="142">
        <v>3287</v>
      </c>
      <c r="C48" s="142" t="s">
        <v>1019</v>
      </c>
      <c r="D48" s="453">
        <v>600</v>
      </c>
      <c r="E48" s="265" t="s">
        <v>823</v>
      </c>
      <c r="F48" s="265" t="s">
        <v>824</v>
      </c>
      <c r="G48" s="265" t="s">
        <v>815</v>
      </c>
      <c r="H48" s="265" t="s">
        <v>825</v>
      </c>
      <c r="I48" s="265"/>
      <c r="J48" s="428"/>
    </row>
    <row r="49" spans="1:10" x14ac:dyDescent="0.3">
      <c r="A49" s="252">
        <v>41832</v>
      </c>
      <c r="B49" s="142">
        <v>3288</v>
      </c>
      <c r="C49" s="142" t="s">
        <v>1017</v>
      </c>
      <c r="D49" s="453">
        <v>7166.2277777777699</v>
      </c>
      <c r="E49" s="265" t="s">
        <v>826</v>
      </c>
      <c r="F49" s="265"/>
      <c r="G49" s="265"/>
      <c r="H49" s="265"/>
      <c r="I49" s="265"/>
      <c r="J49" s="428"/>
    </row>
    <row r="50" spans="1:10" x14ac:dyDescent="0.3">
      <c r="A50" s="252">
        <v>41835</v>
      </c>
      <c r="B50" s="142">
        <v>3289</v>
      </c>
      <c r="C50" s="142" t="s">
        <v>1017</v>
      </c>
      <c r="D50" s="453">
        <v>7509.6111111111104</v>
      </c>
      <c r="E50" s="265" t="s">
        <v>827</v>
      </c>
      <c r="F50" s="265"/>
      <c r="G50" s="265"/>
      <c r="H50" s="265"/>
      <c r="I50" s="265"/>
      <c r="J50" s="428"/>
    </row>
    <row r="51" spans="1:10" x14ac:dyDescent="0.3">
      <c r="A51" s="252">
        <v>41838</v>
      </c>
      <c r="B51" s="142">
        <v>3290</v>
      </c>
      <c r="C51" s="142" t="s">
        <v>1018</v>
      </c>
      <c r="D51" s="453">
        <v>836.85</v>
      </c>
      <c r="E51" s="265" t="s">
        <v>828</v>
      </c>
      <c r="F51" s="265" t="s">
        <v>829</v>
      </c>
      <c r="G51" s="265" t="s">
        <v>830</v>
      </c>
      <c r="H51" s="265" t="s">
        <v>831</v>
      </c>
      <c r="I51" s="265" t="s">
        <v>832</v>
      </c>
      <c r="J51" s="428"/>
    </row>
    <row r="52" spans="1:10" x14ac:dyDescent="0.3">
      <c r="A52" s="252">
        <v>41840</v>
      </c>
      <c r="B52" s="142">
        <v>3291</v>
      </c>
      <c r="C52" s="142" t="s">
        <v>1019</v>
      </c>
      <c r="D52" s="453">
        <v>600</v>
      </c>
      <c r="E52" s="265" t="s">
        <v>833</v>
      </c>
      <c r="F52" s="265" t="s">
        <v>834</v>
      </c>
      <c r="G52" s="265" t="s">
        <v>835</v>
      </c>
      <c r="H52" s="265"/>
      <c r="I52" s="265"/>
      <c r="J52" s="428"/>
    </row>
    <row r="53" spans="1:10" x14ac:dyDescent="0.3">
      <c r="A53" s="252">
        <v>41841</v>
      </c>
      <c r="B53" s="142">
        <v>3292</v>
      </c>
      <c r="C53" s="142" t="s">
        <v>1017</v>
      </c>
      <c r="D53" s="453">
        <v>7852.99444444444</v>
      </c>
      <c r="E53" s="265" t="s">
        <v>836</v>
      </c>
      <c r="F53" s="265" t="s">
        <v>837</v>
      </c>
      <c r="G53" s="266" t="s">
        <v>838</v>
      </c>
      <c r="H53" s="265"/>
      <c r="I53" s="265"/>
      <c r="J53" s="428"/>
    </row>
    <row r="54" spans="1:10" x14ac:dyDescent="0.3">
      <c r="A54" s="252">
        <v>41842</v>
      </c>
      <c r="B54" s="142">
        <v>3293</v>
      </c>
      <c r="C54" s="142" t="s">
        <v>1017</v>
      </c>
      <c r="D54" s="453">
        <v>8196.3777777777705</v>
      </c>
      <c r="E54" s="265" t="s">
        <v>839</v>
      </c>
      <c r="F54" s="265"/>
      <c r="G54" s="265"/>
      <c r="H54" s="265"/>
      <c r="I54" s="265"/>
      <c r="J54" s="428"/>
    </row>
    <row r="55" spans="1:10" x14ac:dyDescent="0.3">
      <c r="A55" s="252">
        <v>41844</v>
      </c>
      <c r="B55" s="142">
        <v>3294</v>
      </c>
      <c r="C55" s="142" t="s">
        <v>1018</v>
      </c>
      <c r="D55" s="453">
        <v>863.73333333333301</v>
      </c>
      <c r="E55" s="265" t="s">
        <v>840</v>
      </c>
      <c r="F55" s="265"/>
      <c r="G55" s="265"/>
      <c r="H55" s="265"/>
      <c r="I55" s="265"/>
      <c r="J55" s="428"/>
    </row>
    <row r="56" spans="1:10" x14ac:dyDescent="0.3">
      <c r="A56" s="252">
        <v>41846</v>
      </c>
      <c r="B56" s="142">
        <v>3295</v>
      </c>
      <c r="C56" s="142" t="s">
        <v>1019</v>
      </c>
      <c r="D56" s="453">
        <v>1200</v>
      </c>
      <c r="E56" s="265" t="s">
        <v>841</v>
      </c>
      <c r="F56" s="265"/>
      <c r="G56" s="265"/>
      <c r="H56" s="265"/>
      <c r="I56" s="265"/>
      <c r="J56" s="428"/>
    </row>
    <row r="57" spans="1:10" x14ac:dyDescent="0.3">
      <c r="A57" s="252">
        <v>41847</v>
      </c>
      <c r="B57" s="142">
        <v>3296</v>
      </c>
      <c r="C57" s="142" t="s">
        <v>1017</v>
      </c>
      <c r="D57" s="453">
        <v>8539.7611111111091</v>
      </c>
      <c r="E57" s="265" t="s">
        <v>842</v>
      </c>
      <c r="F57" s="265"/>
      <c r="G57" s="265"/>
      <c r="H57" s="265"/>
      <c r="I57" s="265"/>
      <c r="J57" s="428"/>
    </row>
    <row r="58" spans="1:10" x14ac:dyDescent="0.3">
      <c r="A58" s="252">
        <v>41850</v>
      </c>
      <c r="B58" s="142">
        <v>3297</v>
      </c>
      <c r="C58" s="142" t="s">
        <v>1017</v>
      </c>
      <c r="D58" s="453">
        <v>8883.1444444444405</v>
      </c>
      <c r="E58" s="265" t="s">
        <v>843</v>
      </c>
      <c r="F58" s="265"/>
      <c r="G58" s="265"/>
      <c r="H58" s="265"/>
      <c r="I58" s="265"/>
      <c r="J58" s="428"/>
    </row>
    <row r="59" spans="1:10" x14ac:dyDescent="0.3">
      <c r="A59" s="252">
        <v>41851</v>
      </c>
      <c r="B59" s="142">
        <v>3298</v>
      </c>
      <c r="C59" s="142" t="s">
        <v>1018</v>
      </c>
      <c r="D59" s="453">
        <v>890.61666666666599</v>
      </c>
      <c r="E59" s="265" t="s">
        <v>844</v>
      </c>
      <c r="F59" s="265" t="s">
        <v>845</v>
      </c>
      <c r="G59" s="266" t="s">
        <v>846</v>
      </c>
      <c r="H59" s="265"/>
      <c r="I59" s="265"/>
      <c r="J59" s="428"/>
    </row>
    <row r="60" spans="1:10" x14ac:dyDescent="0.3">
      <c r="A60" s="252">
        <v>41854</v>
      </c>
      <c r="B60" s="142">
        <v>3299</v>
      </c>
      <c r="C60" s="142" t="s">
        <v>1018</v>
      </c>
      <c r="D60" s="453">
        <v>1800</v>
      </c>
      <c r="E60" s="265" t="s">
        <v>847</v>
      </c>
      <c r="F60" s="265"/>
      <c r="G60" s="265"/>
      <c r="H60" s="265"/>
      <c r="I60" s="265"/>
      <c r="J60" s="428"/>
    </row>
    <row r="61" spans="1:10" x14ac:dyDescent="0.3">
      <c r="A61" s="252">
        <v>41857</v>
      </c>
      <c r="B61" s="142">
        <v>3300</v>
      </c>
      <c r="C61" s="142" t="s">
        <v>1017</v>
      </c>
      <c r="D61" s="453">
        <v>9226.5277777777701</v>
      </c>
      <c r="E61" s="265" t="s">
        <v>848</v>
      </c>
      <c r="F61" s="265" t="s">
        <v>849</v>
      </c>
      <c r="G61" s="265" t="s">
        <v>850</v>
      </c>
      <c r="H61" s="265" t="s">
        <v>851</v>
      </c>
      <c r="I61" s="265"/>
      <c r="J61" s="428"/>
    </row>
    <row r="62" spans="1:10" x14ac:dyDescent="0.3">
      <c r="A62" s="252">
        <v>41858</v>
      </c>
      <c r="B62" s="142">
        <v>3301</v>
      </c>
      <c r="C62" s="142" t="s">
        <v>1017</v>
      </c>
      <c r="D62" s="453">
        <v>9569.9111111111106</v>
      </c>
      <c r="E62" s="265" t="s">
        <v>852</v>
      </c>
      <c r="F62" s="265" t="s">
        <v>853</v>
      </c>
      <c r="G62" s="266" t="s">
        <v>854</v>
      </c>
      <c r="H62" s="266" t="s">
        <v>855</v>
      </c>
      <c r="I62" s="265" t="s">
        <v>856</v>
      </c>
      <c r="J62" s="428"/>
    </row>
    <row r="63" spans="1:10" x14ac:dyDescent="0.3">
      <c r="A63" s="252">
        <v>41861</v>
      </c>
      <c r="B63" s="142">
        <v>3302</v>
      </c>
      <c r="C63" s="142" t="s">
        <v>1018</v>
      </c>
      <c r="D63" s="453">
        <v>917.5</v>
      </c>
      <c r="E63" s="265" t="s">
        <v>857</v>
      </c>
      <c r="F63" s="265"/>
      <c r="G63" s="265"/>
      <c r="H63" s="265"/>
      <c r="I63" s="265"/>
      <c r="J63" s="428"/>
    </row>
    <row r="64" spans="1:10" x14ac:dyDescent="0.3">
      <c r="A64" s="252">
        <v>41862</v>
      </c>
      <c r="B64" s="142">
        <v>3303</v>
      </c>
      <c r="C64" s="142" t="s">
        <v>1018</v>
      </c>
      <c r="D64" s="453">
        <v>600</v>
      </c>
      <c r="E64" s="265" t="s">
        <v>858</v>
      </c>
      <c r="F64" s="265"/>
      <c r="G64" s="265"/>
      <c r="H64" s="265"/>
      <c r="I64" s="265"/>
      <c r="J64" s="428"/>
    </row>
    <row r="65" spans="1:10" x14ac:dyDescent="0.3">
      <c r="A65" s="252">
        <v>41864</v>
      </c>
      <c r="B65" s="142">
        <v>3304</v>
      </c>
      <c r="C65" s="142" t="s">
        <v>1017</v>
      </c>
      <c r="D65" s="453">
        <v>9913.2944444444402</v>
      </c>
      <c r="E65" s="265" t="s">
        <v>859</v>
      </c>
      <c r="F65" s="265" t="s">
        <v>860</v>
      </c>
      <c r="G65" s="265" t="s">
        <v>861</v>
      </c>
      <c r="H65" s="265"/>
      <c r="I65" s="265"/>
      <c r="J65" s="428"/>
    </row>
    <row r="66" spans="1:10" x14ac:dyDescent="0.3">
      <c r="A66" s="252">
        <v>41866</v>
      </c>
      <c r="B66" s="142">
        <v>3305</v>
      </c>
      <c r="C66" s="142" t="s">
        <v>1017</v>
      </c>
      <c r="D66" s="453">
        <v>10256.677777777801</v>
      </c>
      <c r="E66" s="265" t="s">
        <v>862</v>
      </c>
      <c r="F66" s="265" t="s">
        <v>863</v>
      </c>
      <c r="G66" s="265" t="s">
        <v>754</v>
      </c>
      <c r="H66" s="265"/>
      <c r="I66" s="265"/>
      <c r="J66" s="428"/>
    </row>
    <row r="67" spans="1:10" x14ac:dyDescent="0.3">
      <c r="A67" s="252">
        <v>41869</v>
      </c>
      <c r="B67" s="142">
        <v>3306</v>
      </c>
      <c r="C67" s="142" t="s">
        <v>1018</v>
      </c>
      <c r="D67" s="453">
        <v>944.38333333333298</v>
      </c>
      <c r="E67" s="265" t="s">
        <v>864</v>
      </c>
      <c r="F67" s="265" t="s">
        <v>865</v>
      </c>
      <c r="G67" s="265" t="s">
        <v>815</v>
      </c>
      <c r="H67" s="265" t="s">
        <v>866</v>
      </c>
      <c r="I67" s="265" t="s">
        <v>867</v>
      </c>
      <c r="J67" s="428"/>
    </row>
    <row r="68" spans="1:10" x14ac:dyDescent="0.3">
      <c r="A68" s="252">
        <v>41870</v>
      </c>
      <c r="B68" s="142">
        <v>3307</v>
      </c>
      <c r="C68" s="142" t="s">
        <v>1019</v>
      </c>
      <c r="D68" s="453">
        <v>600</v>
      </c>
      <c r="E68" s="265" t="s">
        <v>868</v>
      </c>
      <c r="F68" s="265" t="s">
        <v>869</v>
      </c>
      <c r="G68" s="266" t="s">
        <v>776</v>
      </c>
      <c r="H68" s="265" t="s">
        <v>870</v>
      </c>
      <c r="I68" s="265" t="s">
        <v>871</v>
      </c>
      <c r="J68" s="428"/>
    </row>
    <row r="69" spans="1:10" x14ac:dyDescent="0.3">
      <c r="A69" s="252">
        <v>41871</v>
      </c>
      <c r="B69" s="142">
        <v>3308</v>
      </c>
      <c r="C69" s="142" t="s">
        <v>1017</v>
      </c>
      <c r="D69" s="453">
        <v>10600.061111111099</v>
      </c>
      <c r="E69" s="265" t="s">
        <v>872</v>
      </c>
      <c r="F69" s="265"/>
      <c r="G69" s="265"/>
      <c r="H69" s="265"/>
      <c r="I69" s="265"/>
      <c r="J69" s="428"/>
    </row>
    <row r="70" spans="1:10" x14ac:dyDescent="0.3">
      <c r="A70" s="252">
        <v>41873</v>
      </c>
      <c r="B70" s="142">
        <v>3309</v>
      </c>
      <c r="C70" s="142" t="s">
        <v>1017</v>
      </c>
      <c r="D70" s="453">
        <v>10943.4444444444</v>
      </c>
      <c r="E70" s="265" t="s">
        <v>873</v>
      </c>
      <c r="F70" s="265"/>
      <c r="G70" s="265"/>
      <c r="H70" s="265"/>
      <c r="I70" s="265"/>
      <c r="J70" s="428"/>
    </row>
    <row r="71" spans="1:10" x14ac:dyDescent="0.3">
      <c r="A71" s="252">
        <v>41875</v>
      </c>
      <c r="B71" s="142">
        <v>3310</v>
      </c>
      <c r="C71" s="142" t="s">
        <v>1018</v>
      </c>
      <c r="D71" s="453">
        <v>971.26666666666597</v>
      </c>
      <c r="E71" s="265" t="s">
        <v>874</v>
      </c>
      <c r="F71" s="265" t="s">
        <v>875</v>
      </c>
      <c r="G71" s="265" t="s">
        <v>729</v>
      </c>
      <c r="H71" s="265" t="s">
        <v>876</v>
      </c>
      <c r="I71" s="265" t="s">
        <v>877</v>
      </c>
      <c r="J71" s="428"/>
    </row>
    <row r="72" spans="1:10" x14ac:dyDescent="0.3">
      <c r="A72" s="252">
        <v>41877</v>
      </c>
      <c r="B72" s="142">
        <v>3311</v>
      </c>
      <c r="C72" s="142" t="s">
        <v>1019</v>
      </c>
      <c r="D72" s="453">
        <v>600</v>
      </c>
      <c r="E72" s="265" t="s">
        <v>878</v>
      </c>
      <c r="F72" s="265" t="s">
        <v>879</v>
      </c>
      <c r="G72" s="265" t="s">
        <v>880</v>
      </c>
      <c r="H72" s="265" t="s">
        <v>881</v>
      </c>
      <c r="I72" s="265" t="s">
        <v>882</v>
      </c>
      <c r="J72" s="428"/>
    </row>
    <row r="73" spans="1:10" x14ac:dyDescent="0.3">
      <c r="A73" s="252">
        <v>41880</v>
      </c>
      <c r="B73" s="142">
        <v>3312</v>
      </c>
      <c r="C73" s="142" t="s">
        <v>1017</v>
      </c>
      <c r="D73" s="453">
        <v>8866</v>
      </c>
      <c r="E73" s="265" t="s">
        <v>883</v>
      </c>
      <c r="F73" s="265" t="s">
        <v>884</v>
      </c>
      <c r="G73" s="265" t="s">
        <v>885</v>
      </c>
      <c r="H73" s="265" t="s">
        <v>886</v>
      </c>
      <c r="I73" s="265" t="s">
        <v>887</v>
      </c>
      <c r="J73" s="428"/>
    </row>
    <row r="74" spans="1:10" x14ac:dyDescent="0.3">
      <c r="A74" s="252">
        <v>41881</v>
      </c>
      <c r="B74" s="142">
        <v>3313</v>
      </c>
      <c r="C74" s="142" t="s">
        <v>1017</v>
      </c>
      <c r="D74" s="453">
        <v>8777</v>
      </c>
      <c r="E74" s="265" t="s">
        <v>888</v>
      </c>
      <c r="F74" s="265"/>
      <c r="G74" s="265"/>
      <c r="H74" s="265"/>
      <c r="I74" s="265"/>
      <c r="J74" s="428"/>
    </row>
    <row r="75" spans="1:10" x14ac:dyDescent="0.3">
      <c r="A75" s="252">
        <v>41884</v>
      </c>
      <c r="B75" s="142">
        <v>3314</v>
      </c>
      <c r="C75" s="142" t="s">
        <v>1018</v>
      </c>
      <c r="D75" s="453">
        <v>998.15</v>
      </c>
      <c r="E75" s="265" t="s">
        <v>889</v>
      </c>
      <c r="F75" s="265" t="s">
        <v>890</v>
      </c>
      <c r="G75" s="265" t="s">
        <v>891</v>
      </c>
      <c r="H75" s="265" t="s">
        <v>892</v>
      </c>
      <c r="I75" s="265" t="s">
        <v>893</v>
      </c>
      <c r="J75" s="428"/>
    </row>
    <row r="76" spans="1:10" x14ac:dyDescent="0.3">
      <c r="A76" s="252">
        <v>41886</v>
      </c>
      <c r="B76" s="142">
        <v>3315</v>
      </c>
      <c r="C76" s="142" t="s">
        <v>1019</v>
      </c>
      <c r="D76" s="453">
        <v>1200</v>
      </c>
      <c r="E76" s="265" t="s">
        <v>894</v>
      </c>
      <c r="F76" s="265"/>
      <c r="G76" s="265"/>
      <c r="H76" s="265"/>
      <c r="I76" s="265"/>
      <c r="J76" s="428"/>
    </row>
    <row r="77" spans="1:10" x14ac:dyDescent="0.3">
      <c r="A77" s="252">
        <v>41889</v>
      </c>
      <c r="B77" s="142">
        <v>3316</v>
      </c>
      <c r="C77" s="142" t="s">
        <v>1017</v>
      </c>
      <c r="D77" s="453">
        <v>7687</v>
      </c>
      <c r="E77" s="265" t="s">
        <v>895</v>
      </c>
      <c r="F77" s="265" t="s">
        <v>896</v>
      </c>
      <c r="G77" s="265"/>
      <c r="H77" s="265" t="s">
        <v>897</v>
      </c>
      <c r="I77" s="265"/>
      <c r="J77" s="428"/>
    </row>
    <row r="78" spans="1:10" x14ac:dyDescent="0.3">
      <c r="A78" s="252">
        <v>41891</v>
      </c>
      <c r="B78" s="142">
        <v>3317</v>
      </c>
      <c r="C78" s="142" t="s">
        <v>1017</v>
      </c>
      <c r="D78" s="453">
        <v>7482.1955555555396</v>
      </c>
      <c r="E78" s="265" t="s">
        <v>898</v>
      </c>
      <c r="F78" s="265" t="s">
        <v>899</v>
      </c>
      <c r="G78" s="265" t="s">
        <v>850</v>
      </c>
      <c r="H78" s="265" t="s">
        <v>900</v>
      </c>
      <c r="I78" s="265" t="s">
        <v>901</v>
      </c>
      <c r="J78" s="428"/>
    </row>
    <row r="79" spans="1:10" x14ac:dyDescent="0.3">
      <c r="A79" s="252">
        <v>41892</v>
      </c>
      <c r="B79" s="142">
        <v>3318</v>
      </c>
      <c r="C79" s="142" t="s">
        <v>1018</v>
      </c>
      <c r="D79" s="453">
        <v>1025.0333333333299</v>
      </c>
      <c r="E79" s="265" t="s">
        <v>902</v>
      </c>
      <c r="F79" s="265"/>
      <c r="G79" s="265"/>
      <c r="H79" s="265"/>
      <c r="I79" s="265"/>
      <c r="J79" s="428"/>
    </row>
    <row r="80" spans="1:10" x14ac:dyDescent="0.3">
      <c r="A80" s="252">
        <v>41894</v>
      </c>
      <c r="B80" s="142">
        <v>3319</v>
      </c>
      <c r="C80" s="142" t="s">
        <v>1019</v>
      </c>
      <c r="D80" s="453">
        <v>600</v>
      </c>
      <c r="E80" s="265" t="s">
        <v>903</v>
      </c>
      <c r="F80" s="265" t="s">
        <v>904</v>
      </c>
      <c r="G80" s="265" t="s">
        <v>815</v>
      </c>
      <c r="H80" s="265" t="s">
        <v>905</v>
      </c>
      <c r="I80" s="265" t="s">
        <v>906</v>
      </c>
      <c r="J80" s="428"/>
    </row>
    <row r="81" spans="1:10" x14ac:dyDescent="0.3">
      <c r="A81" s="252">
        <v>41896</v>
      </c>
      <c r="B81" s="142">
        <v>3320</v>
      </c>
      <c r="C81" s="142" t="s">
        <v>1017</v>
      </c>
      <c r="D81" s="453">
        <v>6899.4807936507796</v>
      </c>
      <c r="E81" s="265" t="s">
        <v>907</v>
      </c>
      <c r="F81" s="265" t="s">
        <v>908</v>
      </c>
      <c r="G81" s="266" t="s">
        <v>909</v>
      </c>
      <c r="H81" s="265" t="s">
        <v>910</v>
      </c>
      <c r="I81" s="265"/>
      <c r="J81" s="428"/>
    </row>
    <row r="82" spans="1:10" x14ac:dyDescent="0.3">
      <c r="A82" s="252">
        <v>41897</v>
      </c>
      <c r="B82" s="142">
        <v>3321</v>
      </c>
      <c r="C82" s="142" t="s">
        <v>1017</v>
      </c>
      <c r="D82" s="453">
        <v>6316.7660317460204</v>
      </c>
      <c r="E82" s="265" t="s">
        <v>911</v>
      </c>
      <c r="F82" s="265"/>
      <c r="G82" s="265"/>
      <c r="H82" s="265"/>
      <c r="I82" s="265"/>
      <c r="J82" s="428"/>
    </row>
    <row r="83" spans="1:10" x14ac:dyDescent="0.3">
      <c r="A83" s="252">
        <v>41900</v>
      </c>
      <c r="B83" s="142">
        <v>3322</v>
      </c>
      <c r="C83" s="142" t="s">
        <v>1018</v>
      </c>
      <c r="D83" s="453">
        <v>1051.9166666666699</v>
      </c>
      <c r="E83" s="265" t="s">
        <v>912</v>
      </c>
      <c r="F83" s="265" t="s">
        <v>913</v>
      </c>
      <c r="G83" s="265" t="s">
        <v>914</v>
      </c>
      <c r="H83" s="265" t="s">
        <v>915</v>
      </c>
      <c r="I83" s="265" t="s">
        <v>916</v>
      </c>
      <c r="J83" s="428"/>
    </row>
    <row r="84" spans="1:10" x14ac:dyDescent="0.3">
      <c r="A84" s="252">
        <v>41902</v>
      </c>
      <c r="B84" s="142">
        <v>3323</v>
      </c>
      <c r="C84" s="142" t="s">
        <v>1019</v>
      </c>
      <c r="D84" s="453">
        <v>600</v>
      </c>
      <c r="E84" s="265" t="s">
        <v>917</v>
      </c>
      <c r="F84" s="265" t="s">
        <v>918</v>
      </c>
      <c r="G84" s="266" t="s">
        <v>919</v>
      </c>
      <c r="H84" s="265"/>
      <c r="I84" s="265"/>
      <c r="J84" s="428"/>
    </row>
    <row r="85" spans="1:10" x14ac:dyDescent="0.3">
      <c r="A85" s="252">
        <v>41904</v>
      </c>
      <c r="B85" s="142">
        <v>3324</v>
      </c>
      <c r="C85" s="142" t="s">
        <v>1017</v>
      </c>
      <c r="D85" s="453">
        <v>5734.0512698412504</v>
      </c>
      <c r="E85" s="265" t="s">
        <v>920</v>
      </c>
      <c r="F85" s="265" t="s">
        <v>921</v>
      </c>
      <c r="G85" s="265" t="s">
        <v>850</v>
      </c>
      <c r="H85" s="265" t="s">
        <v>922</v>
      </c>
      <c r="I85" s="265"/>
      <c r="J85" s="428"/>
    </row>
    <row r="86" spans="1:10" x14ac:dyDescent="0.3">
      <c r="A86" s="252">
        <v>41907</v>
      </c>
      <c r="B86" s="142">
        <v>3325</v>
      </c>
      <c r="C86" s="142" t="s">
        <v>1017</v>
      </c>
      <c r="D86" s="453">
        <v>5151.3365079364903</v>
      </c>
      <c r="E86" s="265" t="s">
        <v>923</v>
      </c>
      <c r="F86" s="265" t="s">
        <v>924</v>
      </c>
      <c r="G86" s="265" t="s">
        <v>925</v>
      </c>
      <c r="H86" s="265" t="s">
        <v>926</v>
      </c>
      <c r="I86" s="265"/>
      <c r="J86" s="428"/>
    </row>
    <row r="87" spans="1:10" x14ac:dyDescent="0.3">
      <c r="A87" s="252">
        <v>41908</v>
      </c>
      <c r="B87" s="142">
        <v>3326</v>
      </c>
      <c r="C87" s="142" t="s">
        <v>1018</v>
      </c>
      <c r="D87" s="453">
        <v>1078.8</v>
      </c>
      <c r="E87" s="265" t="s">
        <v>927</v>
      </c>
      <c r="F87" s="265" t="s">
        <v>928</v>
      </c>
      <c r="G87" s="265" t="s">
        <v>754</v>
      </c>
      <c r="H87" s="265"/>
      <c r="I87" s="265"/>
      <c r="J87" s="428"/>
    </row>
    <row r="88" spans="1:10" x14ac:dyDescent="0.3">
      <c r="A88" s="252">
        <v>41910</v>
      </c>
      <c r="B88" s="142">
        <v>3327</v>
      </c>
      <c r="C88" s="142" t="s">
        <v>1019</v>
      </c>
      <c r="D88" s="453">
        <v>1200</v>
      </c>
      <c r="E88" s="265" t="s">
        <v>929</v>
      </c>
      <c r="F88" s="265"/>
      <c r="G88" s="265"/>
      <c r="H88" s="265"/>
      <c r="I88" s="265"/>
      <c r="J88" s="428"/>
    </row>
    <row r="89" spans="1:10" x14ac:dyDescent="0.3">
      <c r="A89" s="252">
        <v>41911</v>
      </c>
      <c r="B89" s="142">
        <v>3328</v>
      </c>
      <c r="C89" s="142" t="s">
        <v>1017</v>
      </c>
      <c r="D89" s="453">
        <v>4568.6217460317303</v>
      </c>
      <c r="E89" s="265" t="s">
        <v>930</v>
      </c>
      <c r="F89" s="265" t="s">
        <v>931</v>
      </c>
      <c r="G89" s="265" t="s">
        <v>815</v>
      </c>
      <c r="H89" s="265" t="s">
        <v>932</v>
      </c>
      <c r="I89" s="265"/>
      <c r="J89" s="428"/>
    </row>
    <row r="90" spans="1:10" x14ac:dyDescent="0.3">
      <c r="A90" s="252">
        <v>41913</v>
      </c>
      <c r="B90" s="142">
        <v>3329</v>
      </c>
      <c r="C90" s="142" t="s">
        <v>1017</v>
      </c>
      <c r="D90" s="453">
        <v>3985.9069841269602</v>
      </c>
      <c r="E90" s="265" t="s">
        <v>933</v>
      </c>
      <c r="F90" s="265"/>
      <c r="G90" s="265" t="s">
        <v>934</v>
      </c>
      <c r="H90" s="265"/>
      <c r="I90" s="265" t="s">
        <v>935</v>
      </c>
      <c r="J90" s="428"/>
    </row>
    <row r="91" spans="1:10" x14ac:dyDescent="0.3">
      <c r="A91" s="252">
        <v>41914</v>
      </c>
      <c r="B91" s="142">
        <v>3330</v>
      </c>
      <c r="C91" s="142" t="s">
        <v>1018</v>
      </c>
      <c r="D91" s="453">
        <v>1105.68333333333</v>
      </c>
      <c r="E91" s="265" t="s">
        <v>936</v>
      </c>
      <c r="F91" s="265" t="s">
        <v>937</v>
      </c>
      <c r="G91" s="265" t="s">
        <v>776</v>
      </c>
      <c r="H91" s="265"/>
      <c r="I91" s="265"/>
      <c r="J91" s="428"/>
    </row>
    <row r="92" spans="1:10" x14ac:dyDescent="0.3">
      <c r="A92" s="252">
        <v>41915</v>
      </c>
      <c r="B92" s="142">
        <v>3331</v>
      </c>
      <c r="C92" s="142" t="s">
        <v>1019</v>
      </c>
      <c r="D92" s="453">
        <v>1800</v>
      </c>
      <c r="E92" s="265" t="s">
        <v>938</v>
      </c>
      <c r="F92" s="265" t="s">
        <v>939</v>
      </c>
      <c r="G92" s="265" t="s">
        <v>940</v>
      </c>
      <c r="H92" s="265" t="s">
        <v>941</v>
      </c>
      <c r="I92" s="265" t="s">
        <v>942</v>
      </c>
      <c r="J92" s="428"/>
    </row>
    <row r="93" spans="1:10" x14ac:dyDescent="0.3">
      <c r="A93" s="252">
        <v>41916</v>
      </c>
      <c r="B93" s="142">
        <v>3332</v>
      </c>
      <c r="C93" s="142" t="s">
        <v>1017</v>
      </c>
      <c r="D93" s="453">
        <v>3403.1922222222001</v>
      </c>
      <c r="E93" s="265" t="s">
        <v>944</v>
      </c>
      <c r="F93" s="265" t="s">
        <v>945</v>
      </c>
      <c r="G93" s="265" t="s">
        <v>776</v>
      </c>
      <c r="H93" s="265" t="s">
        <v>946</v>
      </c>
      <c r="I93" s="265"/>
      <c r="J93" s="428"/>
    </row>
    <row r="94" spans="1:10" x14ac:dyDescent="0.3">
      <c r="A94" s="252">
        <v>41919</v>
      </c>
      <c r="B94" s="142">
        <v>3333</v>
      </c>
      <c r="C94" s="142" t="s">
        <v>1017</v>
      </c>
      <c r="D94" s="453">
        <v>2820.4774603174401</v>
      </c>
      <c r="E94" s="265" t="s">
        <v>947</v>
      </c>
      <c r="F94" s="265" t="s">
        <v>948</v>
      </c>
      <c r="G94" s="265" t="s">
        <v>949</v>
      </c>
      <c r="H94" s="265" t="s">
        <v>950</v>
      </c>
      <c r="I94" s="265"/>
      <c r="J94" s="428"/>
    </row>
    <row r="95" spans="1:10" x14ac:dyDescent="0.3">
      <c r="A95" s="252">
        <v>41921</v>
      </c>
      <c r="B95" s="142">
        <v>3334</v>
      </c>
      <c r="C95" s="142" t="s">
        <v>1018</v>
      </c>
      <c r="D95" s="453">
        <v>1132.56666666667</v>
      </c>
      <c r="E95" s="265" t="s">
        <v>951</v>
      </c>
      <c r="F95" s="265"/>
      <c r="G95" s="265"/>
      <c r="H95" s="265"/>
      <c r="I95" s="265"/>
      <c r="J95" s="428"/>
    </row>
    <row r="96" spans="1:10" x14ac:dyDescent="0.3">
      <c r="A96" s="252">
        <v>41924</v>
      </c>
      <c r="B96" s="142">
        <v>3335</v>
      </c>
      <c r="C96" s="142" t="s">
        <v>1019</v>
      </c>
      <c r="D96" s="453">
        <v>600</v>
      </c>
      <c r="E96" s="265" t="s">
        <v>952</v>
      </c>
      <c r="F96" s="265"/>
      <c r="G96" s="265"/>
      <c r="H96" s="265"/>
      <c r="I96" s="265"/>
      <c r="J96" s="428"/>
    </row>
    <row r="97" spans="1:10" x14ac:dyDescent="0.3">
      <c r="A97" s="252">
        <v>41925</v>
      </c>
      <c r="B97" s="142">
        <v>3336</v>
      </c>
      <c r="C97" s="142" t="s">
        <v>1017</v>
      </c>
      <c r="D97" s="453">
        <v>2237.76269841268</v>
      </c>
      <c r="E97" s="265" t="s">
        <v>953</v>
      </c>
      <c r="F97" s="265"/>
      <c r="G97" s="265"/>
      <c r="H97" s="265"/>
      <c r="I97" s="265"/>
      <c r="J97" s="428"/>
    </row>
    <row r="98" spans="1:10" x14ac:dyDescent="0.3">
      <c r="A98" s="252">
        <v>41928</v>
      </c>
      <c r="B98" s="142">
        <v>3337</v>
      </c>
      <c r="C98" s="142" t="s">
        <v>1017</v>
      </c>
      <c r="D98" s="453">
        <v>1655.04793650791</v>
      </c>
      <c r="E98" s="265" t="s">
        <v>954</v>
      </c>
      <c r="F98" s="265"/>
      <c r="G98" s="265"/>
      <c r="H98" s="265"/>
      <c r="I98" s="265"/>
      <c r="J98" s="428"/>
    </row>
    <row r="99" spans="1:10" x14ac:dyDescent="0.3">
      <c r="A99" s="252">
        <v>41931</v>
      </c>
      <c r="B99" s="142">
        <v>3338</v>
      </c>
      <c r="C99" s="142" t="s">
        <v>1018</v>
      </c>
      <c r="D99" s="453">
        <v>1159.45</v>
      </c>
      <c r="E99" s="265" t="s">
        <v>955</v>
      </c>
      <c r="F99" s="265"/>
      <c r="G99" s="265"/>
      <c r="H99" s="265"/>
      <c r="I99" s="265"/>
      <c r="J99" s="428"/>
    </row>
    <row r="100" spans="1:10" x14ac:dyDescent="0.3">
      <c r="A100" s="252">
        <v>41932</v>
      </c>
      <c r="B100" s="142">
        <v>3339</v>
      </c>
      <c r="C100" s="142" t="s">
        <v>1019</v>
      </c>
      <c r="D100" s="453">
        <v>600</v>
      </c>
      <c r="E100" s="265" t="s">
        <v>956</v>
      </c>
      <c r="F100" s="266" t="s">
        <v>957</v>
      </c>
      <c r="G100" s="265" t="s">
        <v>776</v>
      </c>
      <c r="H100" s="265" t="s">
        <v>958</v>
      </c>
      <c r="I100" s="265" t="s">
        <v>959</v>
      </c>
      <c r="J100" s="428"/>
    </row>
    <row r="101" spans="1:10" x14ac:dyDescent="0.3">
      <c r="A101" s="252">
        <v>41934</v>
      </c>
      <c r="B101" s="142">
        <v>3340</v>
      </c>
      <c r="C101" s="142" t="s">
        <v>1017</v>
      </c>
      <c r="D101" s="453">
        <v>1072.3331746031499</v>
      </c>
      <c r="E101" s="265" t="s">
        <v>960</v>
      </c>
      <c r="F101" s="265"/>
      <c r="G101" s="265"/>
      <c r="H101" s="265"/>
      <c r="I101" s="265"/>
      <c r="J101" s="428"/>
    </row>
    <row r="102" spans="1:10" x14ac:dyDescent="0.3">
      <c r="A102" s="252">
        <v>41937</v>
      </c>
      <c r="B102" s="142">
        <v>3341</v>
      </c>
      <c r="C102" s="142" t="s">
        <v>1017</v>
      </c>
      <c r="D102" s="453">
        <v>489.61841269842398</v>
      </c>
      <c r="E102" s="265" t="s">
        <v>961</v>
      </c>
      <c r="F102" s="265" t="s">
        <v>962</v>
      </c>
      <c r="G102" s="266" t="s">
        <v>963</v>
      </c>
      <c r="H102" s="265"/>
      <c r="I102" s="265"/>
      <c r="J102" s="428"/>
    </row>
    <row r="103" spans="1:10" x14ac:dyDescent="0.3">
      <c r="A103" s="252">
        <v>41938</v>
      </c>
      <c r="B103" s="142">
        <v>3342</v>
      </c>
      <c r="C103" s="142" t="s">
        <v>1018</v>
      </c>
      <c r="D103" s="453">
        <v>1186.3333333333301</v>
      </c>
      <c r="E103" s="265" t="s">
        <v>964</v>
      </c>
      <c r="F103" s="265"/>
      <c r="G103" s="265"/>
      <c r="H103" s="265"/>
      <c r="I103" s="265"/>
      <c r="J103" s="428"/>
    </row>
    <row r="104" spans="1:10" x14ac:dyDescent="0.3">
      <c r="A104" s="252">
        <v>41940</v>
      </c>
      <c r="B104" s="142">
        <v>3343</v>
      </c>
      <c r="C104" s="142" t="s">
        <v>1019</v>
      </c>
      <c r="D104" s="453">
        <v>600</v>
      </c>
      <c r="E104" s="265" t="s">
        <v>965</v>
      </c>
      <c r="F104" s="265" t="s">
        <v>966</v>
      </c>
      <c r="G104" s="265" t="s">
        <v>850</v>
      </c>
      <c r="H104" s="265" t="s">
        <v>967</v>
      </c>
      <c r="I104" s="265" t="s">
        <v>968</v>
      </c>
      <c r="J104" s="428"/>
    </row>
    <row r="105" spans="1:10" x14ac:dyDescent="0.3">
      <c r="A105" s="252">
        <v>41941</v>
      </c>
      <c r="B105" s="142">
        <v>3344</v>
      </c>
      <c r="C105" s="142" t="s">
        <v>1017</v>
      </c>
      <c r="D105" s="453">
        <v>4356</v>
      </c>
      <c r="E105" s="265" t="s">
        <v>969</v>
      </c>
      <c r="F105" s="265" t="s">
        <v>970</v>
      </c>
      <c r="G105" s="265" t="s">
        <v>971</v>
      </c>
      <c r="H105" s="265"/>
      <c r="I105" s="265"/>
      <c r="J105" s="428"/>
    </row>
    <row r="106" spans="1:10" x14ac:dyDescent="0.3">
      <c r="A106" s="252">
        <v>41943</v>
      </c>
      <c r="B106" s="142">
        <v>3345</v>
      </c>
      <c r="C106" s="142" t="s">
        <v>1017</v>
      </c>
      <c r="D106" s="453">
        <v>2883.46596825398</v>
      </c>
      <c r="E106" s="265" t="s">
        <v>972</v>
      </c>
      <c r="F106" s="265"/>
      <c r="G106" s="265"/>
      <c r="H106" s="265"/>
      <c r="I106" s="265"/>
      <c r="J106" s="428"/>
    </row>
    <row r="107" spans="1:10" x14ac:dyDescent="0.3">
      <c r="A107" s="252">
        <v>41946</v>
      </c>
      <c r="B107" s="142">
        <v>3346</v>
      </c>
      <c r="C107" s="142" t="s">
        <v>1018</v>
      </c>
      <c r="D107" s="453">
        <v>1213.2166666666701</v>
      </c>
      <c r="E107" s="265" t="s">
        <v>973</v>
      </c>
      <c r="F107" s="265" t="s">
        <v>974</v>
      </c>
      <c r="G107" s="266" t="s">
        <v>975</v>
      </c>
      <c r="H107" s="265"/>
      <c r="I107" s="265"/>
      <c r="J107" s="428"/>
    </row>
    <row r="108" spans="1:10" x14ac:dyDescent="0.3">
      <c r="A108" s="252">
        <v>41948</v>
      </c>
      <c r="B108" s="142">
        <v>3347</v>
      </c>
      <c r="C108" s="142" t="s">
        <v>1019</v>
      </c>
      <c r="D108" s="453">
        <v>1200</v>
      </c>
      <c r="E108" s="265" t="s">
        <v>976</v>
      </c>
      <c r="F108" s="265" t="s">
        <v>977</v>
      </c>
      <c r="G108" s="265" t="s">
        <v>978</v>
      </c>
      <c r="H108" s="265"/>
      <c r="I108" s="265"/>
      <c r="J108" s="428"/>
    </row>
    <row r="109" spans="1:10" x14ac:dyDescent="0.3">
      <c r="A109" s="252">
        <v>41951</v>
      </c>
      <c r="B109" s="142">
        <v>3348</v>
      </c>
      <c r="C109" s="142" t="s">
        <v>1017</v>
      </c>
      <c r="D109" s="453">
        <v>3190.5704761904899</v>
      </c>
      <c r="E109" s="265" t="s">
        <v>979</v>
      </c>
      <c r="F109" s="265" t="s">
        <v>980</v>
      </c>
      <c r="G109" s="265" t="s">
        <v>981</v>
      </c>
      <c r="H109" s="265"/>
      <c r="I109" s="265"/>
      <c r="J109" s="428"/>
    </row>
    <row r="110" spans="1:10" x14ac:dyDescent="0.3">
      <c r="A110" s="252">
        <v>41952</v>
      </c>
      <c r="B110" s="142">
        <v>3349</v>
      </c>
      <c r="C110" s="142" t="s">
        <v>1017</v>
      </c>
      <c r="D110" s="453">
        <v>3497.6749841270098</v>
      </c>
      <c r="E110" s="265" t="s">
        <v>982</v>
      </c>
      <c r="F110" s="265"/>
      <c r="G110" s="265"/>
      <c r="H110" s="265"/>
      <c r="I110" s="265"/>
      <c r="J110" s="428"/>
    </row>
    <row r="111" spans="1:10" x14ac:dyDescent="0.3">
      <c r="A111" s="252">
        <v>41955</v>
      </c>
      <c r="B111" s="142">
        <v>3350</v>
      </c>
      <c r="C111" s="142" t="s">
        <v>1018</v>
      </c>
      <c r="D111" s="453">
        <v>1240.0999999999999</v>
      </c>
      <c r="E111" s="265" t="s">
        <v>983</v>
      </c>
      <c r="F111" s="265"/>
      <c r="G111" s="265" t="s">
        <v>984</v>
      </c>
      <c r="H111" s="265" t="s">
        <v>985</v>
      </c>
      <c r="I111" s="265" t="s">
        <v>986</v>
      </c>
      <c r="J111" s="428"/>
    </row>
    <row r="112" spans="1:10" x14ac:dyDescent="0.3">
      <c r="A112" s="252">
        <v>41958</v>
      </c>
      <c r="B112" s="142">
        <v>3351</v>
      </c>
      <c r="C112" s="142" t="s">
        <v>1019</v>
      </c>
      <c r="D112" s="453">
        <v>600</v>
      </c>
      <c r="E112" s="265" t="s">
        <v>987</v>
      </c>
      <c r="F112" s="265" t="s">
        <v>988</v>
      </c>
      <c r="G112" s="265" t="s">
        <v>989</v>
      </c>
      <c r="H112" s="265" t="s">
        <v>990</v>
      </c>
      <c r="I112" s="265" t="s">
        <v>991</v>
      </c>
      <c r="J112" s="428"/>
    </row>
    <row r="113" spans="1:10" x14ac:dyDescent="0.3">
      <c r="A113" s="252">
        <v>41959</v>
      </c>
      <c r="B113" s="142">
        <v>3352</v>
      </c>
      <c r="C113" s="142" t="s">
        <v>1017</v>
      </c>
      <c r="D113" s="453">
        <v>3804.7794920635201</v>
      </c>
      <c r="E113" s="265" t="s">
        <v>992</v>
      </c>
      <c r="F113" s="265" t="s">
        <v>993</v>
      </c>
      <c r="G113" s="265" t="s">
        <v>994</v>
      </c>
      <c r="H113" s="265" t="s">
        <v>995</v>
      </c>
      <c r="I113" s="265"/>
      <c r="J113" s="428"/>
    </row>
    <row r="114" spans="1:10" x14ac:dyDescent="0.3">
      <c r="A114" s="252">
        <v>41962</v>
      </c>
      <c r="B114" s="142">
        <v>3353</v>
      </c>
      <c r="C114" s="142" t="s">
        <v>1017</v>
      </c>
      <c r="D114" s="453">
        <v>4111.88400000004</v>
      </c>
      <c r="E114" s="265" t="s">
        <v>996</v>
      </c>
      <c r="F114" s="265"/>
      <c r="G114" s="265"/>
      <c r="H114" s="265"/>
      <c r="I114" s="265"/>
      <c r="J114" s="428"/>
    </row>
    <row r="115" spans="1:10" x14ac:dyDescent="0.3">
      <c r="A115" s="252">
        <v>41963</v>
      </c>
      <c r="B115" s="142">
        <v>3354</v>
      </c>
      <c r="C115" s="142" t="s">
        <v>1018</v>
      </c>
      <c r="D115" s="453">
        <v>1266.9833333333299</v>
      </c>
      <c r="E115" s="265" t="s">
        <v>997</v>
      </c>
      <c r="F115" s="265" t="s">
        <v>998</v>
      </c>
      <c r="G115" s="266" t="s">
        <v>999</v>
      </c>
      <c r="H115" s="265"/>
      <c r="I115" s="265"/>
      <c r="J115" s="428"/>
    </row>
    <row r="116" spans="1:10" x14ac:dyDescent="0.3">
      <c r="A116" s="252">
        <v>41965</v>
      </c>
      <c r="B116" s="142">
        <v>3355</v>
      </c>
      <c r="C116" s="142" t="s">
        <v>1019</v>
      </c>
      <c r="D116" s="453">
        <v>600</v>
      </c>
      <c r="E116" s="265" t="s">
        <v>1000</v>
      </c>
      <c r="F116" s="265" t="s">
        <v>1001</v>
      </c>
      <c r="G116" s="265" t="s">
        <v>754</v>
      </c>
      <c r="H116" s="265"/>
      <c r="I116" s="265"/>
      <c r="J116" s="428"/>
    </row>
    <row r="117" spans="1:10" x14ac:dyDescent="0.3">
      <c r="A117" s="252">
        <v>41966</v>
      </c>
      <c r="B117" s="142">
        <v>3356</v>
      </c>
      <c r="C117" s="142" t="s">
        <v>1017</v>
      </c>
      <c r="D117" s="453">
        <v>4418.9885079365504</v>
      </c>
      <c r="E117" s="265" t="s">
        <v>1002</v>
      </c>
      <c r="F117" s="265" t="s">
        <v>1003</v>
      </c>
      <c r="G117" s="265" t="s">
        <v>793</v>
      </c>
      <c r="H117" s="265" t="s">
        <v>1004</v>
      </c>
      <c r="I117" s="265"/>
      <c r="J117" s="428"/>
    </row>
    <row r="118" spans="1:10" x14ac:dyDescent="0.3">
      <c r="A118" s="252">
        <v>41968</v>
      </c>
      <c r="B118" s="142">
        <v>3357</v>
      </c>
      <c r="C118" s="142" t="s">
        <v>1017</v>
      </c>
      <c r="D118" s="453">
        <v>4726.0930158730698</v>
      </c>
      <c r="E118" s="265" t="s">
        <v>1005</v>
      </c>
      <c r="F118" s="265" t="s">
        <v>1006</v>
      </c>
      <c r="G118" s="265" t="s">
        <v>754</v>
      </c>
      <c r="H118" s="265"/>
      <c r="I118" s="265"/>
      <c r="J118" s="428"/>
    </row>
    <row r="119" spans="1:10" x14ac:dyDescent="0.3">
      <c r="A119" s="252">
        <v>41970</v>
      </c>
      <c r="B119" s="142">
        <v>3358</v>
      </c>
      <c r="C119" s="142" t="s">
        <v>1018</v>
      </c>
      <c r="D119" s="453">
        <v>1293.86666666667</v>
      </c>
      <c r="E119" s="265" t="s">
        <v>1007</v>
      </c>
      <c r="F119" s="265" t="s">
        <v>1008</v>
      </c>
      <c r="G119" s="265" t="s">
        <v>1009</v>
      </c>
      <c r="H119" s="265" t="s">
        <v>1010</v>
      </c>
      <c r="I119" s="265" t="s">
        <v>1011</v>
      </c>
      <c r="J119" s="428"/>
    </row>
    <row r="120" spans="1:10" x14ac:dyDescent="0.3">
      <c r="A120" s="252">
        <v>41973</v>
      </c>
      <c r="B120" s="142">
        <v>3359</v>
      </c>
      <c r="C120" s="142" t="s">
        <v>1019</v>
      </c>
      <c r="D120" s="453">
        <v>1200</v>
      </c>
      <c r="E120" s="265" t="s">
        <v>1012</v>
      </c>
      <c r="F120" s="265" t="s">
        <v>1013</v>
      </c>
      <c r="G120" s="265" t="s">
        <v>1014</v>
      </c>
      <c r="H120" s="428"/>
      <c r="I120" s="428"/>
      <c r="J120" s="428"/>
    </row>
    <row r="121" spans="1:10" ht="16.2" thickBot="1" x14ac:dyDescent="0.35">
      <c r="D121" s="280">
        <f>SUM(D6:D120)</f>
        <v>362626.85834920622</v>
      </c>
      <c r="E121" s="428"/>
      <c r="F121" s="428"/>
      <c r="G121" s="428"/>
      <c r="H121" s="428"/>
      <c r="I121" s="428"/>
      <c r="J121" s="428"/>
    </row>
    <row r="122" spans="1:10" ht="16.2" thickTop="1"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5"/>
  <sheetViews>
    <sheetView showGridLines="0" zoomScaleNormal="100" workbookViewId="0">
      <selection activeCell="E11" sqref="E11"/>
    </sheetView>
  </sheetViews>
  <sheetFormatPr defaultColWidth="9.109375" defaultRowHeight="15.6" x14ac:dyDescent="0.3"/>
  <cols>
    <col min="1" max="1" width="6.33203125" style="675" customWidth="1"/>
    <col min="2" max="2" width="20" style="644" customWidth="1"/>
    <col min="3" max="3" width="102.109375" style="676" customWidth="1"/>
    <col min="4" max="4" width="8.88671875"/>
    <col min="5" max="7" width="9.109375" style="642"/>
    <col min="8" max="8" width="19.88671875" style="642" customWidth="1"/>
    <col min="9" max="16384" width="9.109375" style="642"/>
  </cols>
  <sheetData>
    <row r="1" spans="1:8" ht="18" x14ac:dyDescent="0.3">
      <c r="A1" s="677" t="s">
        <v>3009</v>
      </c>
    </row>
    <row r="3" spans="1:8" x14ac:dyDescent="0.3">
      <c r="A3" s="673" t="s">
        <v>3007</v>
      </c>
      <c r="E3" s="642" t="str">
        <f t="shared" ref="E3:E66" si="0">IF(F3&gt;0,A3:A3,"")</f>
        <v>Compatibility</v>
      </c>
      <c r="F3" s="642">
        <f>COUNT(A4:A41)</f>
        <v>38</v>
      </c>
    </row>
    <row r="4" spans="1:8" s="645" customFormat="1" x14ac:dyDescent="0.3">
      <c r="A4" s="649">
        <v>1</v>
      </c>
      <c r="B4" s="667" t="s">
        <v>2460</v>
      </c>
      <c r="C4" s="668" t="s">
        <v>2461</v>
      </c>
      <c r="E4" s="642" t="str">
        <f t="shared" si="0"/>
        <v/>
      </c>
    </row>
    <row r="5" spans="1:8" s="645" customFormat="1" x14ac:dyDescent="0.3">
      <c r="A5" s="649">
        <v>2</v>
      </c>
      <c r="B5" s="667" t="s">
        <v>2462</v>
      </c>
      <c r="C5" s="668" t="s">
        <v>2463</v>
      </c>
      <c r="E5" s="642" t="str">
        <f t="shared" si="0"/>
        <v/>
      </c>
      <c r="H5" s="645" t="s">
        <v>723</v>
      </c>
    </row>
    <row r="6" spans="1:8" s="645" customFormat="1" x14ac:dyDescent="0.3">
      <c r="A6" s="649">
        <v>3</v>
      </c>
      <c r="B6" s="667" t="s">
        <v>2055</v>
      </c>
      <c r="C6" s="668" t="s">
        <v>2098</v>
      </c>
      <c r="E6" s="642" t="str">
        <f t="shared" si="0"/>
        <v/>
      </c>
      <c r="H6" s="645" t="s">
        <v>723</v>
      </c>
    </row>
    <row r="7" spans="1:8" s="645" customFormat="1" x14ac:dyDescent="0.3">
      <c r="A7" s="649">
        <v>4</v>
      </c>
      <c r="B7" s="667" t="s">
        <v>2464</v>
      </c>
      <c r="C7" s="668" t="s">
        <v>2099</v>
      </c>
      <c r="E7" s="642" t="str">
        <f t="shared" si="0"/>
        <v/>
      </c>
      <c r="H7" s="645" t="s">
        <v>723</v>
      </c>
    </row>
    <row r="8" spans="1:8" s="645" customFormat="1" x14ac:dyDescent="0.3">
      <c r="A8" s="649">
        <v>5</v>
      </c>
      <c r="B8" s="667" t="s">
        <v>2056</v>
      </c>
      <c r="C8" s="668" t="s">
        <v>2100</v>
      </c>
      <c r="E8" s="642" t="str">
        <f t="shared" si="0"/>
        <v/>
      </c>
      <c r="H8" s="645" t="s">
        <v>723</v>
      </c>
    </row>
    <row r="9" spans="1:8" s="645" customFormat="1" x14ac:dyDescent="0.3">
      <c r="A9" s="649">
        <v>6</v>
      </c>
      <c r="B9" s="667" t="s">
        <v>2465</v>
      </c>
      <c r="C9" s="668" t="s">
        <v>2101</v>
      </c>
      <c r="E9" s="642" t="str">
        <f t="shared" si="0"/>
        <v/>
      </c>
      <c r="H9" s="645" t="s">
        <v>723</v>
      </c>
    </row>
    <row r="10" spans="1:8" s="645" customFormat="1" x14ac:dyDescent="0.3">
      <c r="A10" s="649">
        <v>7</v>
      </c>
      <c r="B10" s="667" t="s">
        <v>2057</v>
      </c>
      <c r="C10" s="668" t="s">
        <v>2102</v>
      </c>
      <c r="E10" s="642" t="str">
        <f t="shared" si="0"/>
        <v/>
      </c>
      <c r="H10" s="645" t="s">
        <v>723</v>
      </c>
    </row>
    <row r="11" spans="1:8" s="645" customFormat="1" x14ac:dyDescent="0.3">
      <c r="A11" s="649">
        <v>8</v>
      </c>
      <c r="B11" s="667" t="s">
        <v>2466</v>
      </c>
      <c r="C11" s="668" t="s">
        <v>2103</v>
      </c>
      <c r="E11" s="642" t="str">
        <f t="shared" si="0"/>
        <v/>
      </c>
      <c r="H11" s="645" t="s">
        <v>723</v>
      </c>
    </row>
    <row r="12" spans="1:8" s="645" customFormat="1" ht="31.2" x14ac:dyDescent="0.3">
      <c r="A12" s="649">
        <v>9</v>
      </c>
      <c r="B12" s="667" t="s">
        <v>2058</v>
      </c>
      <c r="C12" s="668" t="s">
        <v>2104</v>
      </c>
      <c r="E12" s="642" t="str">
        <f t="shared" si="0"/>
        <v/>
      </c>
      <c r="H12" s="645" t="s">
        <v>723</v>
      </c>
    </row>
    <row r="13" spans="1:8" s="645" customFormat="1" x14ac:dyDescent="0.3">
      <c r="A13" s="649">
        <v>10</v>
      </c>
      <c r="B13" s="667" t="s">
        <v>2467</v>
      </c>
      <c r="C13" s="668" t="s">
        <v>2105</v>
      </c>
      <c r="E13" s="642" t="str">
        <f t="shared" si="0"/>
        <v/>
      </c>
      <c r="H13" s="645" t="s">
        <v>723</v>
      </c>
    </row>
    <row r="14" spans="1:8" s="645" customFormat="1" x14ac:dyDescent="0.3">
      <c r="A14" s="649">
        <v>11</v>
      </c>
      <c r="B14" s="667" t="s">
        <v>2468</v>
      </c>
      <c r="C14" s="668" t="s">
        <v>2106</v>
      </c>
      <c r="E14" s="642" t="str">
        <f t="shared" si="0"/>
        <v/>
      </c>
      <c r="H14" s="645" t="s">
        <v>723</v>
      </c>
    </row>
    <row r="15" spans="1:8" s="645" customFormat="1" x14ac:dyDescent="0.3">
      <c r="A15" s="649">
        <v>12</v>
      </c>
      <c r="B15" s="667" t="s">
        <v>2063</v>
      </c>
      <c r="C15" s="668" t="s">
        <v>2107</v>
      </c>
      <c r="E15" s="642" t="str">
        <f t="shared" si="0"/>
        <v/>
      </c>
      <c r="H15" s="645" t="s">
        <v>723</v>
      </c>
    </row>
    <row r="16" spans="1:8" s="645" customFormat="1" x14ac:dyDescent="0.3">
      <c r="A16" s="649">
        <v>13</v>
      </c>
      <c r="B16" s="667" t="s">
        <v>2469</v>
      </c>
      <c r="C16" s="668" t="s">
        <v>2108</v>
      </c>
      <c r="E16" s="642" t="str">
        <f t="shared" si="0"/>
        <v/>
      </c>
      <c r="H16" s="645" t="s">
        <v>723</v>
      </c>
    </row>
    <row r="17" spans="1:8" s="645" customFormat="1" x14ac:dyDescent="0.3">
      <c r="A17" s="649">
        <v>14</v>
      </c>
      <c r="B17" s="667" t="s">
        <v>2470</v>
      </c>
      <c r="C17" s="668" t="s">
        <v>2109</v>
      </c>
      <c r="E17" s="642" t="str">
        <f t="shared" si="0"/>
        <v/>
      </c>
      <c r="H17" s="645" t="s">
        <v>723</v>
      </c>
    </row>
    <row r="18" spans="1:8" s="645" customFormat="1" x14ac:dyDescent="0.3">
      <c r="A18" s="649">
        <v>15</v>
      </c>
      <c r="B18" s="667" t="s">
        <v>2065</v>
      </c>
      <c r="C18" s="668" t="s">
        <v>2110</v>
      </c>
      <c r="E18" s="642" t="str">
        <f t="shared" si="0"/>
        <v/>
      </c>
      <c r="H18" s="645" t="s">
        <v>723</v>
      </c>
    </row>
    <row r="19" spans="1:8" s="645" customFormat="1" x14ac:dyDescent="0.3">
      <c r="A19" s="649">
        <v>16</v>
      </c>
      <c r="B19" s="667" t="s">
        <v>2067</v>
      </c>
      <c r="C19" s="668" t="s">
        <v>2111</v>
      </c>
      <c r="E19" s="642" t="str">
        <f t="shared" si="0"/>
        <v/>
      </c>
      <c r="H19" s="645" t="s">
        <v>723</v>
      </c>
    </row>
    <row r="20" spans="1:8" s="645" customFormat="1" x14ac:dyDescent="0.3">
      <c r="A20" s="649">
        <v>17</v>
      </c>
      <c r="B20" s="667" t="s">
        <v>2071</v>
      </c>
      <c r="C20" s="668" t="s">
        <v>2406</v>
      </c>
      <c r="E20" s="642" t="str">
        <f t="shared" si="0"/>
        <v/>
      </c>
      <c r="H20" s="645" t="s">
        <v>723</v>
      </c>
    </row>
    <row r="21" spans="1:8" s="645" customFormat="1" x14ac:dyDescent="0.3">
      <c r="A21" s="649">
        <v>18</v>
      </c>
      <c r="B21" s="667" t="s">
        <v>2072</v>
      </c>
      <c r="C21" s="668" t="s">
        <v>2112</v>
      </c>
      <c r="E21" s="642" t="str">
        <f t="shared" si="0"/>
        <v/>
      </c>
      <c r="H21" s="645" t="s">
        <v>723</v>
      </c>
    </row>
    <row r="22" spans="1:8" s="645" customFormat="1" x14ac:dyDescent="0.3">
      <c r="A22" s="649">
        <v>19</v>
      </c>
      <c r="B22" s="667" t="s">
        <v>2471</v>
      </c>
      <c r="C22" s="668" t="s">
        <v>2113</v>
      </c>
      <c r="E22" s="642" t="str">
        <f t="shared" si="0"/>
        <v/>
      </c>
      <c r="H22" s="645" t="s">
        <v>723</v>
      </c>
    </row>
    <row r="23" spans="1:8" s="645" customFormat="1" x14ac:dyDescent="0.3">
      <c r="A23" s="649">
        <v>20</v>
      </c>
      <c r="B23" s="667" t="s">
        <v>2073</v>
      </c>
      <c r="C23" s="668" t="s">
        <v>2114</v>
      </c>
      <c r="E23" s="642" t="str">
        <f t="shared" si="0"/>
        <v/>
      </c>
      <c r="H23" s="645" t="s">
        <v>723</v>
      </c>
    </row>
    <row r="24" spans="1:8" s="645" customFormat="1" x14ac:dyDescent="0.3">
      <c r="A24" s="649">
        <v>21</v>
      </c>
      <c r="B24" s="667" t="s">
        <v>2074</v>
      </c>
      <c r="C24" s="668" t="s">
        <v>2115</v>
      </c>
      <c r="E24" s="642" t="str">
        <f t="shared" si="0"/>
        <v/>
      </c>
      <c r="H24" s="645" t="s">
        <v>723</v>
      </c>
    </row>
    <row r="25" spans="1:8" s="645" customFormat="1" x14ac:dyDescent="0.3">
      <c r="A25" s="649">
        <v>22</v>
      </c>
      <c r="B25" s="667" t="s">
        <v>2075</v>
      </c>
      <c r="C25" s="668" t="s">
        <v>2116</v>
      </c>
      <c r="E25" s="642" t="str">
        <f t="shared" si="0"/>
        <v/>
      </c>
      <c r="H25" s="645" t="s">
        <v>723</v>
      </c>
    </row>
    <row r="26" spans="1:8" s="645" customFormat="1" x14ac:dyDescent="0.3">
      <c r="A26" s="649">
        <v>23</v>
      </c>
      <c r="B26" s="667" t="s">
        <v>2076</v>
      </c>
      <c r="C26" s="668" t="s">
        <v>2117</v>
      </c>
      <c r="E26" s="642" t="str">
        <f t="shared" si="0"/>
        <v/>
      </c>
      <c r="H26" s="645" t="s">
        <v>723</v>
      </c>
    </row>
    <row r="27" spans="1:8" s="645" customFormat="1" x14ac:dyDescent="0.3">
      <c r="A27" s="649">
        <v>24</v>
      </c>
      <c r="B27" s="667" t="s">
        <v>2077</v>
      </c>
      <c r="C27" s="668" t="s">
        <v>2118</v>
      </c>
      <c r="E27" s="642" t="str">
        <f t="shared" si="0"/>
        <v/>
      </c>
      <c r="H27" s="645" t="s">
        <v>723</v>
      </c>
    </row>
    <row r="28" spans="1:8" s="645" customFormat="1" x14ac:dyDescent="0.3">
      <c r="A28" s="666">
        <v>25</v>
      </c>
      <c r="B28" s="669" t="s">
        <v>2472</v>
      </c>
      <c r="C28" s="670" t="s">
        <v>2119</v>
      </c>
      <c r="E28" s="642" t="str">
        <f t="shared" si="0"/>
        <v/>
      </c>
      <c r="H28" s="645" t="s">
        <v>723</v>
      </c>
    </row>
    <row r="29" spans="1:8" s="645" customFormat="1" x14ac:dyDescent="0.3">
      <c r="A29" s="666">
        <v>26</v>
      </c>
      <c r="B29" s="669" t="s">
        <v>2473</v>
      </c>
      <c r="C29" s="670" t="s">
        <v>2120</v>
      </c>
      <c r="E29" s="642" t="str">
        <f t="shared" si="0"/>
        <v/>
      </c>
      <c r="H29" s="645" t="s">
        <v>723</v>
      </c>
    </row>
    <row r="30" spans="1:8" s="645" customFormat="1" x14ac:dyDescent="0.3">
      <c r="A30" s="649">
        <v>27</v>
      </c>
      <c r="B30" s="667" t="s">
        <v>2079</v>
      </c>
      <c r="C30" s="668" t="s">
        <v>2121</v>
      </c>
      <c r="E30" s="642" t="str">
        <f t="shared" si="0"/>
        <v/>
      </c>
      <c r="H30" s="645" t="s">
        <v>723</v>
      </c>
    </row>
    <row r="31" spans="1:8" s="645" customFormat="1" x14ac:dyDescent="0.3">
      <c r="A31" s="649">
        <v>28</v>
      </c>
      <c r="B31" s="667" t="s">
        <v>2474</v>
      </c>
      <c r="C31" s="668" t="s">
        <v>2122</v>
      </c>
      <c r="E31" s="642" t="str">
        <f t="shared" si="0"/>
        <v/>
      </c>
      <c r="H31" s="645" t="s">
        <v>723</v>
      </c>
    </row>
    <row r="32" spans="1:8" s="645" customFormat="1" x14ac:dyDescent="0.3">
      <c r="A32" s="666">
        <v>29</v>
      </c>
      <c r="B32" s="669" t="s">
        <v>534</v>
      </c>
      <c r="C32" s="670" t="s">
        <v>535</v>
      </c>
      <c r="E32" s="642" t="str">
        <f t="shared" si="0"/>
        <v/>
      </c>
      <c r="H32" s="645" t="s">
        <v>723</v>
      </c>
    </row>
    <row r="33" spans="1:8" s="645" customFormat="1" x14ac:dyDescent="0.3">
      <c r="A33" s="649">
        <v>30</v>
      </c>
      <c r="B33" s="667" t="s">
        <v>2082</v>
      </c>
      <c r="C33" s="668" t="s">
        <v>2123</v>
      </c>
      <c r="E33" s="642" t="str">
        <f t="shared" si="0"/>
        <v/>
      </c>
      <c r="H33" s="645" t="s">
        <v>723</v>
      </c>
    </row>
    <row r="34" spans="1:8" s="645" customFormat="1" x14ac:dyDescent="0.3">
      <c r="A34" s="666">
        <v>31</v>
      </c>
      <c r="B34" s="669" t="s">
        <v>2084</v>
      </c>
      <c r="C34" s="670" t="s">
        <v>2124</v>
      </c>
      <c r="E34" s="642" t="str">
        <f t="shared" si="0"/>
        <v/>
      </c>
      <c r="H34" s="645" t="s">
        <v>723</v>
      </c>
    </row>
    <row r="35" spans="1:8" s="645" customFormat="1" x14ac:dyDescent="0.3">
      <c r="A35" s="649">
        <v>32</v>
      </c>
      <c r="B35" s="667" t="s">
        <v>2475</v>
      </c>
      <c r="C35" s="668" t="s">
        <v>2125</v>
      </c>
      <c r="E35" s="642" t="str">
        <f t="shared" si="0"/>
        <v/>
      </c>
      <c r="H35" s="645" t="s">
        <v>723</v>
      </c>
    </row>
    <row r="36" spans="1:8" s="645" customFormat="1" x14ac:dyDescent="0.3">
      <c r="A36" s="649">
        <v>33</v>
      </c>
      <c r="B36" s="667" t="s">
        <v>2087</v>
      </c>
      <c r="C36" s="668" t="s">
        <v>2126</v>
      </c>
      <c r="E36" s="642" t="str">
        <f t="shared" si="0"/>
        <v/>
      </c>
      <c r="H36" s="645" t="s">
        <v>723</v>
      </c>
    </row>
    <row r="37" spans="1:8" s="645" customFormat="1" x14ac:dyDescent="0.3">
      <c r="A37" s="649">
        <v>34</v>
      </c>
      <c r="B37" s="667" t="s">
        <v>2476</v>
      </c>
      <c r="C37" s="668" t="s">
        <v>2127</v>
      </c>
      <c r="E37" s="642" t="str">
        <f t="shared" si="0"/>
        <v/>
      </c>
      <c r="H37" s="645" t="s">
        <v>723</v>
      </c>
    </row>
    <row r="38" spans="1:8" s="645" customFormat="1" x14ac:dyDescent="0.3">
      <c r="A38" s="649">
        <v>35</v>
      </c>
      <c r="B38" s="667" t="s">
        <v>2089</v>
      </c>
      <c r="C38" s="668" t="s">
        <v>2128</v>
      </c>
      <c r="E38" s="642" t="str">
        <f t="shared" si="0"/>
        <v/>
      </c>
      <c r="H38" s="645" t="s">
        <v>723</v>
      </c>
    </row>
    <row r="39" spans="1:8" s="645" customFormat="1" x14ac:dyDescent="0.3">
      <c r="A39" s="649">
        <v>36</v>
      </c>
      <c r="B39" s="667" t="s">
        <v>2091</v>
      </c>
      <c r="C39" s="668" t="s">
        <v>2129</v>
      </c>
      <c r="E39" s="642" t="str">
        <f t="shared" si="0"/>
        <v/>
      </c>
      <c r="H39" s="645" t="s">
        <v>723</v>
      </c>
    </row>
    <row r="40" spans="1:8" s="645" customFormat="1" x14ac:dyDescent="0.3">
      <c r="A40" s="649">
        <v>37</v>
      </c>
      <c r="B40" s="667" t="s">
        <v>2477</v>
      </c>
      <c r="C40" s="668" t="s">
        <v>2130</v>
      </c>
      <c r="E40" s="642" t="str">
        <f t="shared" si="0"/>
        <v/>
      </c>
      <c r="H40" s="645" t="s">
        <v>723</v>
      </c>
    </row>
    <row r="41" spans="1:8" s="645" customFormat="1" x14ac:dyDescent="0.3">
      <c r="A41" s="649">
        <v>38</v>
      </c>
      <c r="B41" s="667" t="s">
        <v>2093</v>
      </c>
      <c r="C41" s="668" t="s">
        <v>2131</v>
      </c>
      <c r="E41" s="642" t="str">
        <f t="shared" si="0"/>
        <v/>
      </c>
      <c r="H41" s="645" t="s">
        <v>723</v>
      </c>
    </row>
    <row r="42" spans="1:8" s="645" customFormat="1" x14ac:dyDescent="0.3">
      <c r="A42" s="648"/>
      <c r="B42" s="646"/>
      <c r="C42" s="647"/>
      <c r="E42" s="642" t="str">
        <f t="shared" si="0"/>
        <v/>
      </c>
      <c r="H42" s="645" t="s">
        <v>723</v>
      </c>
    </row>
    <row r="43" spans="1:8" s="645" customFormat="1" x14ac:dyDescent="0.3">
      <c r="A43" s="673" t="s">
        <v>2478</v>
      </c>
      <c r="C43" s="647"/>
      <c r="E43" s="642" t="str">
        <f t="shared" si="0"/>
        <v>Cubes</v>
      </c>
      <c r="F43" s="645">
        <f>COUNT(A44:A50)</f>
        <v>7</v>
      </c>
      <c r="H43" s="645" t="s">
        <v>723</v>
      </c>
    </row>
    <row r="44" spans="1:8" s="645" customFormat="1" ht="46.8" x14ac:dyDescent="0.3">
      <c r="A44" s="666">
        <v>39</v>
      </c>
      <c r="B44" s="669" t="s">
        <v>2479</v>
      </c>
      <c r="C44" s="670" t="s">
        <v>2132</v>
      </c>
      <c r="E44" s="642" t="str">
        <f t="shared" si="0"/>
        <v/>
      </c>
      <c r="H44" s="645" t="s">
        <v>723</v>
      </c>
    </row>
    <row r="45" spans="1:8" s="645" customFormat="1" x14ac:dyDescent="0.3">
      <c r="A45" s="649">
        <v>40</v>
      </c>
      <c r="B45" s="667" t="s">
        <v>2480</v>
      </c>
      <c r="C45" s="668" t="s">
        <v>2133</v>
      </c>
      <c r="E45" s="642" t="str">
        <f t="shared" si="0"/>
        <v/>
      </c>
      <c r="H45" s="645" t="s">
        <v>723</v>
      </c>
    </row>
    <row r="46" spans="1:8" s="645" customFormat="1" ht="31.2" x14ac:dyDescent="0.3">
      <c r="A46" s="649">
        <v>41</v>
      </c>
      <c r="B46" s="667" t="s">
        <v>2481</v>
      </c>
      <c r="C46" s="668" t="s">
        <v>2134</v>
      </c>
      <c r="E46" s="642" t="str">
        <f t="shared" si="0"/>
        <v/>
      </c>
      <c r="H46" s="645" t="s">
        <v>723</v>
      </c>
    </row>
    <row r="47" spans="1:8" s="645" customFormat="1" ht="31.2" x14ac:dyDescent="0.3">
      <c r="A47" s="649">
        <v>42</v>
      </c>
      <c r="B47" s="667" t="s">
        <v>2482</v>
      </c>
      <c r="C47" s="668" t="s">
        <v>2135</v>
      </c>
      <c r="E47" s="642" t="str">
        <f t="shared" si="0"/>
        <v/>
      </c>
      <c r="H47" s="645" t="s">
        <v>723</v>
      </c>
    </row>
    <row r="48" spans="1:8" s="645" customFormat="1" ht="31.2" x14ac:dyDescent="0.3">
      <c r="A48" s="649">
        <v>43</v>
      </c>
      <c r="B48" s="667" t="s">
        <v>2483</v>
      </c>
      <c r="C48" s="668" t="s">
        <v>2136</v>
      </c>
      <c r="E48" s="642" t="str">
        <f t="shared" si="0"/>
        <v/>
      </c>
      <c r="H48" s="645" t="s">
        <v>723</v>
      </c>
    </row>
    <row r="49" spans="1:8" s="645" customFormat="1" x14ac:dyDescent="0.3">
      <c r="A49" s="649">
        <v>44</v>
      </c>
      <c r="B49" s="667" t="s">
        <v>2484</v>
      </c>
      <c r="C49" s="668" t="s">
        <v>2137</v>
      </c>
      <c r="E49" s="642" t="str">
        <f t="shared" si="0"/>
        <v/>
      </c>
      <c r="H49" s="645" t="s">
        <v>723</v>
      </c>
    </row>
    <row r="50" spans="1:8" s="645" customFormat="1" x14ac:dyDescent="0.3">
      <c r="A50" s="649">
        <v>45</v>
      </c>
      <c r="B50" s="667" t="s">
        <v>2485</v>
      </c>
      <c r="C50" s="668" t="s">
        <v>2138</v>
      </c>
      <c r="E50" s="642" t="str">
        <f t="shared" si="0"/>
        <v/>
      </c>
      <c r="H50" s="645" t="s">
        <v>723</v>
      </c>
    </row>
    <row r="51" spans="1:8" s="645" customFormat="1" x14ac:dyDescent="0.3">
      <c r="A51" s="648"/>
      <c r="B51" s="674"/>
      <c r="C51" s="647"/>
      <c r="E51" s="642" t="str">
        <f t="shared" si="0"/>
        <v/>
      </c>
      <c r="H51" s="645" t="s">
        <v>723</v>
      </c>
    </row>
    <row r="52" spans="1:8" s="645" customFormat="1" x14ac:dyDescent="0.3">
      <c r="A52" s="673" t="s">
        <v>2486</v>
      </c>
      <c r="C52" s="647"/>
      <c r="E52" s="642" t="str">
        <f t="shared" si="0"/>
        <v>Databases</v>
      </c>
      <c r="F52" s="645">
        <f>COUNT(A53:A64)</f>
        <v>12</v>
      </c>
      <c r="H52" s="645" t="s">
        <v>723</v>
      </c>
    </row>
    <row r="53" spans="1:8" s="645" customFormat="1" x14ac:dyDescent="0.3">
      <c r="A53" s="666">
        <v>46</v>
      </c>
      <c r="B53" s="669" t="s">
        <v>413</v>
      </c>
      <c r="C53" s="670" t="s">
        <v>414</v>
      </c>
      <c r="E53" s="642" t="str">
        <f t="shared" si="0"/>
        <v/>
      </c>
      <c r="H53" s="645" t="s">
        <v>723</v>
      </c>
    </row>
    <row r="54" spans="1:8" s="645" customFormat="1" x14ac:dyDescent="0.3">
      <c r="A54" s="666">
        <v>47</v>
      </c>
      <c r="B54" s="669" t="s">
        <v>415</v>
      </c>
      <c r="C54" s="670" t="s">
        <v>416</v>
      </c>
      <c r="E54" s="642" t="str">
        <f t="shared" si="0"/>
        <v/>
      </c>
      <c r="H54" s="645" t="s">
        <v>723</v>
      </c>
    </row>
    <row r="55" spans="1:8" s="645" customFormat="1" x14ac:dyDescent="0.3">
      <c r="A55" s="666">
        <v>48</v>
      </c>
      <c r="B55" s="669" t="s">
        <v>417</v>
      </c>
      <c r="C55" s="670" t="s">
        <v>418</v>
      </c>
      <c r="E55" s="642" t="str">
        <f t="shared" si="0"/>
        <v/>
      </c>
      <c r="H55" s="645" t="s">
        <v>723</v>
      </c>
    </row>
    <row r="56" spans="1:8" s="645" customFormat="1" x14ac:dyDescent="0.3">
      <c r="A56" s="666">
        <v>49</v>
      </c>
      <c r="B56" s="669" t="s">
        <v>419</v>
      </c>
      <c r="C56" s="670" t="s">
        <v>420</v>
      </c>
      <c r="E56" s="642" t="str">
        <f t="shared" si="0"/>
        <v/>
      </c>
      <c r="H56" s="645" t="s">
        <v>723</v>
      </c>
    </row>
    <row r="57" spans="1:8" s="645" customFormat="1" x14ac:dyDescent="0.3">
      <c r="A57" s="666">
        <v>50</v>
      </c>
      <c r="B57" s="669" t="s">
        <v>421</v>
      </c>
      <c r="C57" s="670" t="s">
        <v>422</v>
      </c>
      <c r="E57" s="642" t="str">
        <f t="shared" si="0"/>
        <v/>
      </c>
      <c r="H57" s="645" t="s">
        <v>723</v>
      </c>
    </row>
    <row r="58" spans="1:8" s="645" customFormat="1" x14ac:dyDescent="0.3">
      <c r="A58" s="666">
        <v>51</v>
      </c>
      <c r="B58" s="669" t="s">
        <v>423</v>
      </c>
      <c r="C58" s="670" t="s">
        <v>424</v>
      </c>
      <c r="E58" s="642" t="str">
        <f t="shared" si="0"/>
        <v/>
      </c>
      <c r="H58" s="645" t="s">
        <v>723</v>
      </c>
    </row>
    <row r="59" spans="1:8" s="645" customFormat="1" x14ac:dyDescent="0.3">
      <c r="A59" s="649">
        <v>52</v>
      </c>
      <c r="B59" s="667" t="s">
        <v>425</v>
      </c>
      <c r="C59" s="668" t="s">
        <v>426</v>
      </c>
      <c r="E59" s="642" t="str">
        <f t="shared" si="0"/>
        <v/>
      </c>
      <c r="H59" s="645" t="s">
        <v>723</v>
      </c>
    </row>
    <row r="60" spans="1:8" s="645" customFormat="1" x14ac:dyDescent="0.3">
      <c r="A60" s="649">
        <v>53</v>
      </c>
      <c r="B60" s="667" t="s">
        <v>2059</v>
      </c>
      <c r="C60" s="668" t="s">
        <v>2139</v>
      </c>
      <c r="E60" s="642" t="str">
        <f t="shared" si="0"/>
        <v/>
      </c>
      <c r="H60" s="645" t="s">
        <v>723</v>
      </c>
    </row>
    <row r="61" spans="1:8" s="645" customFormat="1" x14ac:dyDescent="0.3">
      <c r="A61" s="649">
        <v>54</v>
      </c>
      <c r="B61" s="667" t="s">
        <v>2060</v>
      </c>
      <c r="C61" s="668" t="s">
        <v>2140</v>
      </c>
      <c r="E61" s="642" t="str">
        <f t="shared" si="0"/>
        <v/>
      </c>
      <c r="H61" s="645" t="s">
        <v>723</v>
      </c>
    </row>
    <row r="62" spans="1:8" s="645" customFormat="1" x14ac:dyDescent="0.3">
      <c r="A62" s="666">
        <v>55</v>
      </c>
      <c r="B62" s="669" t="s">
        <v>427</v>
      </c>
      <c r="C62" s="670" t="s">
        <v>428</v>
      </c>
      <c r="E62" s="642" t="str">
        <f t="shared" si="0"/>
        <v/>
      </c>
      <c r="H62" s="645" t="s">
        <v>723</v>
      </c>
    </row>
    <row r="63" spans="1:8" s="645" customFormat="1" x14ac:dyDescent="0.3">
      <c r="A63" s="649">
        <v>56</v>
      </c>
      <c r="B63" s="667" t="s">
        <v>2061</v>
      </c>
      <c r="C63" s="668" t="s">
        <v>2141</v>
      </c>
      <c r="E63" s="642" t="str">
        <f t="shared" si="0"/>
        <v/>
      </c>
      <c r="H63" s="645" t="s">
        <v>723</v>
      </c>
    </row>
    <row r="64" spans="1:8" s="645" customFormat="1" x14ac:dyDescent="0.3">
      <c r="A64" s="649">
        <v>57</v>
      </c>
      <c r="B64" s="667" t="s">
        <v>2062</v>
      </c>
      <c r="C64" s="668" t="s">
        <v>2142</v>
      </c>
      <c r="E64" s="642" t="str">
        <f t="shared" si="0"/>
        <v/>
      </c>
      <c r="H64" s="645" t="s">
        <v>723</v>
      </c>
    </row>
    <row r="65" spans="1:8" s="645" customFormat="1" x14ac:dyDescent="0.3">
      <c r="A65" s="648"/>
      <c r="B65" s="674"/>
      <c r="C65" s="647"/>
      <c r="E65" s="642" t="str">
        <f t="shared" si="0"/>
        <v/>
      </c>
      <c r="H65" s="645" t="s">
        <v>723</v>
      </c>
    </row>
    <row r="66" spans="1:8" s="645" customFormat="1" x14ac:dyDescent="0.3">
      <c r="A66" s="673" t="s">
        <v>2487</v>
      </c>
      <c r="C66" s="647"/>
      <c r="E66" s="642" t="str">
        <f t="shared" si="0"/>
        <v>Date and times</v>
      </c>
      <c r="F66" s="645">
        <f>COUNT(A67:A90)</f>
        <v>24</v>
      </c>
      <c r="H66" s="645" t="s">
        <v>723</v>
      </c>
    </row>
    <row r="67" spans="1:8" s="645" customFormat="1" x14ac:dyDescent="0.3">
      <c r="A67" s="666">
        <v>58</v>
      </c>
      <c r="B67" s="669" t="s">
        <v>430</v>
      </c>
      <c r="C67" s="670" t="s">
        <v>431</v>
      </c>
      <c r="E67" s="642" t="str">
        <f t="shared" ref="E67:E130" si="1">IF(F67&gt;0,A67:A67,"")</f>
        <v/>
      </c>
      <c r="H67" s="645" t="s">
        <v>723</v>
      </c>
    </row>
    <row r="68" spans="1:8" s="645" customFormat="1" x14ac:dyDescent="0.3">
      <c r="A68" s="666">
        <v>59</v>
      </c>
      <c r="B68" s="669" t="s">
        <v>432</v>
      </c>
      <c r="C68" s="670" t="s">
        <v>433</v>
      </c>
      <c r="E68" s="642" t="str">
        <f t="shared" si="1"/>
        <v/>
      </c>
      <c r="H68" s="645" t="s">
        <v>723</v>
      </c>
    </row>
    <row r="69" spans="1:8" s="645" customFormat="1" x14ac:dyDescent="0.3">
      <c r="A69" s="666">
        <v>60</v>
      </c>
      <c r="B69" s="669" t="s">
        <v>67</v>
      </c>
      <c r="C69" s="670" t="s">
        <v>434</v>
      </c>
      <c r="E69" s="642" t="str">
        <f t="shared" si="1"/>
        <v/>
      </c>
      <c r="H69" s="645" t="s">
        <v>723</v>
      </c>
    </row>
    <row r="70" spans="1:8" s="645" customFormat="1" x14ac:dyDescent="0.3">
      <c r="A70" s="666">
        <v>61</v>
      </c>
      <c r="B70" s="669" t="s">
        <v>2488</v>
      </c>
      <c r="C70" s="670" t="s">
        <v>2144</v>
      </c>
      <c r="E70" s="642" t="str">
        <f t="shared" si="1"/>
        <v/>
      </c>
      <c r="H70" s="645" t="s">
        <v>723</v>
      </c>
    </row>
    <row r="71" spans="1:8" s="645" customFormat="1" x14ac:dyDescent="0.3">
      <c r="A71" s="649">
        <v>62</v>
      </c>
      <c r="B71" s="667" t="s">
        <v>435</v>
      </c>
      <c r="C71" s="668" t="s">
        <v>436</v>
      </c>
      <c r="E71" s="642" t="str">
        <f t="shared" si="1"/>
        <v/>
      </c>
      <c r="H71" s="645" t="s">
        <v>723</v>
      </c>
    </row>
    <row r="72" spans="1:8" s="645" customFormat="1" ht="31.2" x14ac:dyDescent="0.3">
      <c r="A72" s="649">
        <v>63</v>
      </c>
      <c r="B72" s="667" t="s">
        <v>49</v>
      </c>
      <c r="C72" s="668" t="s">
        <v>437</v>
      </c>
      <c r="E72" s="642" t="str">
        <f t="shared" si="1"/>
        <v/>
      </c>
      <c r="H72" s="645" t="s">
        <v>723</v>
      </c>
    </row>
    <row r="73" spans="1:8" s="645" customFormat="1" x14ac:dyDescent="0.3">
      <c r="A73" s="649">
        <v>64</v>
      </c>
      <c r="B73" s="667" t="s">
        <v>51</v>
      </c>
      <c r="C73" s="668" t="s">
        <v>438</v>
      </c>
      <c r="E73" s="642" t="str">
        <f t="shared" si="1"/>
        <v/>
      </c>
      <c r="H73" s="645" t="s">
        <v>723</v>
      </c>
    </row>
    <row r="74" spans="1:8" s="645" customFormat="1" x14ac:dyDescent="0.3">
      <c r="A74" s="666">
        <v>65</v>
      </c>
      <c r="B74" s="669" t="s">
        <v>145</v>
      </c>
      <c r="C74" s="670" t="s">
        <v>2145</v>
      </c>
      <c r="E74" s="642" t="str">
        <f t="shared" si="1"/>
        <v/>
      </c>
      <c r="H74" s="645" t="s">
        <v>723</v>
      </c>
    </row>
    <row r="75" spans="1:8" s="645" customFormat="1" x14ac:dyDescent="0.3">
      <c r="A75" s="666">
        <v>66</v>
      </c>
      <c r="B75" s="669" t="s">
        <v>2489</v>
      </c>
      <c r="C75" s="670" t="s">
        <v>2147</v>
      </c>
      <c r="E75" s="642" t="str">
        <f t="shared" si="1"/>
        <v/>
      </c>
      <c r="H75" s="645" t="s">
        <v>723</v>
      </c>
    </row>
    <row r="76" spans="1:8" s="645" customFormat="1" x14ac:dyDescent="0.3">
      <c r="A76" s="666">
        <v>67</v>
      </c>
      <c r="B76" s="669" t="s">
        <v>148</v>
      </c>
      <c r="C76" s="670" t="s">
        <v>2148</v>
      </c>
      <c r="E76" s="642" t="str">
        <f t="shared" si="1"/>
        <v/>
      </c>
      <c r="H76" s="645" t="s">
        <v>723</v>
      </c>
    </row>
    <row r="77" spans="1:8" s="645" customFormat="1" x14ac:dyDescent="0.3">
      <c r="A77" s="666">
        <v>68</v>
      </c>
      <c r="B77" s="669" t="s">
        <v>72</v>
      </c>
      <c r="C77" s="670" t="s">
        <v>439</v>
      </c>
      <c r="E77" s="642" t="str">
        <f t="shared" si="1"/>
        <v/>
      </c>
      <c r="H77" s="645" t="s">
        <v>723</v>
      </c>
    </row>
    <row r="78" spans="1:8" s="645" customFormat="1" x14ac:dyDescent="0.3">
      <c r="A78" s="666">
        <v>69</v>
      </c>
      <c r="B78" s="669" t="s">
        <v>56</v>
      </c>
      <c r="C78" s="670" t="s">
        <v>2149</v>
      </c>
      <c r="E78" s="642" t="str">
        <f t="shared" si="1"/>
        <v/>
      </c>
      <c r="H78" s="645" t="s">
        <v>723</v>
      </c>
    </row>
    <row r="79" spans="1:8" s="645" customFormat="1" ht="31.2" x14ac:dyDescent="0.3">
      <c r="A79" s="649">
        <v>70</v>
      </c>
      <c r="B79" s="667" t="s">
        <v>2490</v>
      </c>
      <c r="C79" s="668" t="s">
        <v>2150</v>
      </c>
      <c r="E79" s="642" t="str">
        <f t="shared" si="1"/>
        <v/>
      </c>
      <c r="H79" s="645" t="s">
        <v>723</v>
      </c>
    </row>
    <row r="80" spans="1:8" s="645" customFormat="1" x14ac:dyDescent="0.3">
      <c r="A80" s="666">
        <v>71</v>
      </c>
      <c r="B80" s="669" t="s">
        <v>164</v>
      </c>
      <c r="C80" s="670" t="s">
        <v>440</v>
      </c>
      <c r="E80" s="642" t="str">
        <f t="shared" si="1"/>
        <v/>
      </c>
      <c r="H80" s="645" t="s">
        <v>723</v>
      </c>
    </row>
    <row r="81" spans="1:8" s="645" customFormat="1" x14ac:dyDescent="0.3">
      <c r="A81" s="666">
        <v>72</v>
      </c>
      <c r="B81" s="669" t="s">
        <v>154</v>
      </c>
      <c r="C81" s="670" t="s">
        <v>2151</v>
      </c>
      <c r="E81" s="642" t="str">
        <f t="shared" si="1"/>
        <v/>
      </c>
      <c r="H81" s="645" t="s">
        <v>723</v>
      </c>
    </row>
    <row r="82" spans="1:8" s="645" customFormat="1" x14ac:dyDescent="0.3">
      <c r="A82" s="666">
        <v>73</v>
      </c>
      <c r="B82" s="669" t="s">
        <v>157</v>
      </c>
      <c r="C82" s="670" t="s">
        <v>2152</v>
      </c>
      <c r="E82" s="642" t="str">
        <f t="shared" si="1"/>
        <v/>
      </c>
      <c r="H82" s="645" t="s">
        <v>723</v>
      </c>
    </row>
    <row r="83" spans="1:8" s="645" customFormat="1" x14ac:dyDescent="0.3">
      <c r="A83" s="666">
        <v>74</v>
      </c>
      <c r="B83" s="669" t="s">
        <v>163</v>
      </c>
      <c r="C83" s="670" t="s">
        <v>2153</v>
      </c>
      <c r="E83" s="642" t="str">
        <f t="shared" si="1"/>
        <v/>
      </c>
      <c r="H83" s="645" t="s">
        <v>723</v>
      </c>
    </row>
    <row r="84" spans="1:8" s="645" customFormat="1" x14ac:dyDescent="0.3">
      <c r="A84" s="666">
        <v>75</v>
      </c>
      <c r="B84" s="669" t="s">
        <v>80</v>
      </c>
      <c r="C84" s="670" t="s">
        <v>441</v>
      </c>
      <c r="E84" s="642" t="str">
        <f t="shared" si="1"/>
        <v/>
      </c>
      <c r="H84" s="645" t="s">
        <v>723</v>
      </c>
    </row>
    <row r="85" spans="1:8" s="645" customFormat="1" x14ac:dyDescent="0.3">
      <c r="A85" s="666">
        <v>76</v>
      </c>
      <c r="B85" s="669" t="s">
        <v>442</v>
      </c>
      <c r="C85" s="670" t="s">
        <v>443</v>
      </c>
      <c r="E85" s="642" t="str">
        <f t="shared" si="1"/>
        <v/>
      </c>
      <c r="H85" s="645" t="s">
        <v>723</v>
      </c>
    </row>
    <row r="86" spans="1:8" s="645" customFormat="1" x14ac:dyDescent="0.3">
      <c r="A86" s="666">
        <v>77</v>
      </c>
      <c r="B86" s="669" t="s">
        <v>444</v>
      </c>
      <c r="C86" s="670" t="s">
        <v>445</v>
      </c>
      <c r="E86" s="642" t="str">
        <f t="shared" si="1"/>
        <v/>
      </c>
      <c r="H86" s="645" t="s">
        <v>723</v>
      </c>
    </row>
    <row r="87" spans="1:8" s="645" customFormat="1" x14ac:dyDescent="0.3">
      <c r="A87" s="666">
        <v>78</v>
      </c>
      <c r="B87" s="669" t="s">
        <v>59</v>
      </c>
      <c r="C87" s="670" t="s">
        <v>446</v>
      </c>
      <c r="E87" s="642" t="str">
        <f t="shared" si="1"/>
        <v/>
      </c>
      <c r="H87" s="645" t="s">
        <v>723</v>
      </c>
    </row>
    <row r="88" spans="1:8" s="645" customFormat="1" ht="31.2" x14ac:dyDescent="0.3">
      <c r="A88" s="649">
        <v>79</v>
      </c>
      <c r="B88" s="667" t="s">
        <v>2491</v>
      </c>
      <c r="C88" s="668" t="s">
        <v>2154</v>
      </c>
      <c r="E88" s="642" t="str">
        <f t="shared" si="1"/>
        <v/>
      </c>
      <c r="H88" s="645" t="s">
        <v>723</v>
      </c>
    </row>
    <row r="89" spans="1:8" s="645" customFormat="1" x14ac:dyDescent="0.3">
      <c r="A89" s="666">
        <v>80</v>
      </c>
      <c r="B89" s="669" t="s">
        <v>76</v>
      </c>
      <c r="C89" s="670" t="s">
        <v>447</v>
      </c>
      <c r="E89" s="642" t="str">
        <f t="shared" si="1"/>
        <v/>
      </c>
      <c r="H89" s="645" t="s">
        <v>723</v>
      </c>
    </row>
    <row r="90" spans="1:8" s="645" customFormat="1" x14ac:dyDescent="0.3">
      <c r="A90" s="649">
        <v>81</v>
      </c>
      <c r="B90" s="667" t="s">
        <v>2492</v>
      </c>
      <c r="C90" s="668" t="s">
        <v>2155</v>
      </c>
      <c r="E90" s="642" t="str">
        <f t="shared" si="1"/>
        <v/>
      </c>
      <c r="H90" s="645" t="s">
        <v>723</v>
      </c>
    </row>
    <row r="91" spans="1:8" s="645" customFormat="1" x14ac:dyDescent="0.3">
      <c r="A91" s="648"/>
      <c r="B91" s="674"/>
      <c r="C91" s="647"/>
      <c r="E91" s="642" t="str">
        <f t="shared" si="1"/>
        <v/>
      </c>
      <c r="H91" s="645" t="s">
        <v>723</v>
      </c>
    </row>
    <row r="92" spans="1:8" s="645" customFormat="1" x14ac:dyDescent="0.3">
      <c r="A92" s="673" t="s">
        <v>2493</v>
      </c>
      <c r="C92" s="647"/>
      <c r="E92" s="642" t="str">
        <f t="shared" si="1"/>
        <v>Engineerings</v>
      </c>
      <c r="F92" s="645">
        <f>COUNT(A93:A146)</f>
        <v>54</v>
      </c>
      <c r="H92" s="645" t="s">
        <v>723</v>
      </c>
    </row>
    <row r="93" spans="1:8" s="645" customFormat="1" x14ac:dyDescent="0.3">
      <c r="A93" s="649">
        <v>82</v>
      </c>
      <c r="B93" s="667" t="s">
        <v>2494</v>
      </c>
      <c r="C93" s="668" t="s">
        <v>2495</v>
      </c>
      <c r="E93" s="642" t="str">
        <f t="shared" si="1"/>
        <v/>
      </c>
      <c r="H93" s="645" t="s">
        <v>723</v>
      </c>
    </row>
    <row r="94" spans="1:8" s="645" customFormat="1" x14ac:dyDescent="0.3">
      <c r="A94" s="649">
        <v>83</v>
      </c>
      <c r="B94" s="667" t="s">
        <v>2496</v>
      </c>
      <c r="C94" s="668" t="s">
        <v>2497</v>
      </c>
      <c r="E94" s="642" t="str">
        <f t="shared" si="1"/>
        <v/>
      </c>
      <c r="H94" s="645" t="s">
        <v>723</v>
      </c>
    </row>
    <row r="95" spans="1:8" s="645" customFormat="1" x14ac:dyDescent="0.3">
      <c r="A95" s="649">
        <v>84</v>
      </c>
      <c r="B95" s="667" t="s">
        <v>2498</v>
      </c>
      <c r="C95" s="668" t="s">
        <v>2499</v>
      </c>
      <c r="E95" s="642" t="str">
        <f t="shared" si="1"/>
        <v/>
      </c>
      <c r="H95" s="645" t="s">
        <v>723</v>
      </c>
    </row>
    <row r="96" spans="1:8" s="645" customFormat="1" x14ac:dyDescent="0.3">
      <c r="A96" s="649">
        <v>85</v>
      </c>
      <c r="B96" s="667" t="s">
        <v>2500</v>
      </c>
      <c r="C96" s="668" t="s">
        <v>2501</v>
      </c>
      <c r="E96" s="642" t="str">
        <f t="shared" si="1"/>
        <v/>
      </c>
      <c r="H96" s="645" t="s">
        <v>723</v>
      </c>
    </row>
    <row r="97" spans="1:8" s="645" customFormat="1" x14ac:dyDescent="0.3">
      <c r="A97" s="649">
        <v>86</v>
      </c>
      <c r="B97" s="667" t="s">
        <v>2502</v>
      </c>
      <c r="C97" s="668" t="s">
        <v>2156</v>
      </c>
      <c r="E97" s="642" t="str">
        <f t="shared" si="1"/>
        <v/>
      </c>
      <c r="H97" s="645" t="s">
        <v>723</v>
      </c>
    </row>
    <row r="98" spans="1:8" s="645" customFormat="1" x14ac:dyDescent="0.3">
      <c r="A98" s="649">
        <v>87</v>
      </c>
      <c r="B98" s="667" t="s">
        <v>2503</v>
      </c>
      <c r="C98" s="668" t="s">
        <v>2157</v>
      </c>
      <c r="E98" s="642" t="str">
        <f t="shared" si="1"/>
        <v/>
      </c>
      <c r="H98" s="645" t="s">
        <v>723</v>
      </c>
    </row>
    <row r="99" spans="1:8" s="645" customFormat="1" x14ac:dyDescent="0.3">
      <c r="A99" s="649">
        <v>88</v>
      </c>
      <c r="B99" s="667" t="s">
        <v>2504</v>
      </c>
      <c r="C99" s="668" t="s">
        <v>2158</v>
      </c>
      <c r="E99" s="642" t="str">
        <f t="shared" si="1"/>
        <v/>
      </c>
      <c r="H99" s="645" t="s">
        <v>723</v>
      </c>
    </row>
    <row r="100" spans="1:8" s="645" customFormat="1" x14ac:dyDescent="0.3">
      <c r="A100" s="649">
        <v>89</v>
      </c>
      <c r="B100" s="667" t="s">
        <v>2505</v>
      </c>
      <c r="C100" s="668" t="s">
        <v>2160</v>
      </c>
      <c r="E100" s="642" t="str">
        <f t="shared" si="1"/>
        <v/>
      </c>
      <c r="H100" s="645" t="s">
        <v>723</v>
      </c>
    </row>
    <row r="101" spans="1:8" s="645" customFormat="1" x14ac:dyDescent="0.3">
      <c r="A101" s="649">
        <v>90</v>
      </c>
      <c r="B101" s="667" t="s">
        <v>2506</v>
      </c>
      <c r="C101" s="668" t="s">
        <v>2162</v>
      </c>
      <c r="E101" s="642" t="str">
        <f t="shared" si="1"/>
        <v/>
      </c>
      <c r="H101" s="645" t="s">
        <v>723</v>
      </c>
    </row>
    <row r="102" spans="1:8" s="645" customFormat="1" x14ac:dyDescent="0.3">
      <c r="A102" s="649">
        <v>91</v>
      </c>
      <c r="B102" s="667" t="s">
        <v>2507</v>
      </c>
      <c r="C102" s="668" t="s">
        <v>2164</v>
      </c>
      <c r="E102" s="642" t="str">
        <f t="shared" si="1"/>
        <v/>
      </c>
      <c r="H102" s="645" t="s">
        <v>723</v>
      </c>
    </row>
    <row r="103" spans="1:8" s="645" customFormat="1" x14ac:dyDescent="0.3">
      <c r="A103" s="649">
        <v>92</v>
      </c>
      <c r="B103" s="667" t="s">
        <v>2508</v>
      </c>
      <c r="C103" s="668" t="s">
        <v>2166</v>
      </c>
      <c r="E103" s="642" t="str">
        <f t="shared" si="1"/>
        <v/>
      </c>
      <c r="H103" s="645" t="s">
        <v>723</v>
      </c>
    </row>
    <row r="104" spans="1:8" s="645" customFormat="1" x14ac:dyDescent="0.3">
      <c r="A104" s="649">
        <v>93</v>
      </c>
      <c r="B104" s="667" t="s">
        <v>2509</v>
      </c>
      <c r="C104" s="668" t="s">
        <v>2168</v>
      </c>
      <c r="E104" s="642" t="str">
        <f t="shared" si="1"/>
        <v/>
      </c>
      <c r="H104" s="645" t="s">
        <v>723</v>
      </c>
    </row>
    <row r="105" spans="1:8" s="645" customFormat="1" x14ac:dyDescent="0.3">
      <c r="A105" s="649">
        <v>94</v>
      </c>
      <c r="B105" s="667" t="s">
        <v>2510</v>
      </c>
      <c r="C105" s="668" t="s">
        <v>2169</v>
      </c>
      <c r="E105" s="642" t="str">
        <f t="shared" si="1"/>
        <v/>
      </c>
      <c r="H105" s="645" t="s">
        <v>723</v>
      </c>
    </row>
    <row r="106" spans="1:8" s="645" customFormat="1" x14ac:dyDescent="0.3">
      <c r="A106" s="666">
        <v>95</v>
      </c>
      <c r="B106" s="669" t="s">
        <v>2511</v>
      </c>
      <c r="C106" s="670" t="s">
        <v>2170</v>
      </c>
      <c r="E106" s="642" t="str">
        <f t="shared" si="1"/>
        <v/>
      </c>
      <c r="H106" s="645" t="s">
        <v>723</v>
      </c>
    </row>
    <row r="107" spans="1:8" s="645" customFormat="1" x14ac:dyDescent="0.3">
      <c r="A107" s="649">
        <v>96</v>
      </c>
      <c r="B107" s="667" t="s">
        <v>2512</v>
      </c>
      <c r="C107" s="668" t="s">
        <v>2171</v>
      </c>
      <c r="E107" s="642" t="str">
        <f t="shared" si="1"/>
        <v/>
      </c>
      <c r="H107" s="645" t="s">
        <v>723</v>
      </c>
    </row>
    <row r="108" spans="1:8" s="645" customFormat="1" x14ac:dyDescent="0.3">
      <c r="A108" s="649">
        <v>97</v>
      </c>
      <c r="B108" s="667" t="s">
        <v>2513</v>
      </c>
      <c r="C108" s="668" t="s">
        <v>2172</v>
      </c>
      <c r="E108" s="642" t="str">
        <f t="shared" si="1"/>
        <v/>
      </c>
      <c r="H108" s="645" t="s">
        <v>723</v>
      </c>
    </row>
    <row r="109" spans="1:8" s="645" customFormat="1" x14ac:dyDescent="0.3">
      <c r="A109" s="649">
        <v>98</v>
      </c>
      <c r="B109" s="667" t="s">
        <v>2514</v>
      </c>
      <c r="C109" s="668" t="s">
        <v>2173</v>
      </c>
      <c r="E109" s="642" t="str">
        <f t="shared" si="1"/>
        <v/>
      </c>
      <c r="H109" s="645" t="s">
        <v>723</v>
      </c>
    </row>
    <row r="110" spans="1:8" s="645" customFormat="1" x14ac:dyDescent="0.3">
      <c r="A110" s="666">
        <v>99</v>
      </c>
      <c r="B110" s="669" t="s">
        <v>2515</v>
      </c>
      <c r="C110" s="670" t="s">
        <v>2174</v>
      </c>
      <c r="E110" s="642" t="str">
        <f t="shared" si="1"/>
        <v/>
      </c>
      <c r="H110" s="645" t="s">
        <v>723</v>
      </c>
    </row>
    <row r="111" spans="1:8" s="645" customFormat="1" x14ac:dyDescent="0.3">
      <c r="A111" s="649">
        <v>100</v>
      </c>
      <c r="B111" s="667" t="s">
        <v>2516</v>
      </c>
      <c r="C111" s="668" t="s">
        <v>2517</v>
      </c>
      <c r="E111" s="642" t="str">
        <f t="shared" si="1"/>
        <v/>
      </c>
      <c r="H111" s="645" t="s">
        <v>723</v>
      </c>
    </row>
    <row r="112" spans="1:8" s="645" customFormat="1" x14ac:dyDescent="0.3">
      <c r="A112" s="649">
        <v>101</v>
      </c>
      <c r="B112" s="667" t="s">
        <v>2518</v>
      </c>
      <c r="C112" s="668" t="s">
        <v>2517</v>
      </c>
      <c r="E112" s="642" t="str">
        <f t="shared" si="1"/>
        <v/>
      </c>
      <c r="H112" s="645" t="s">
        <v>723</v>
      </c>
    </row>
    <row r="113" spans="1:8" s="645" customFormat="1" x14ac:dyDescent="0.3">
      <c r="A113" s="649">
        <v>102</v>
      </c>
      <c r="B113" s="667" t="s">
        <v>2519</v>
      </c>
      <c r="C113" s="668" t="s">
        <v>2520</v>
      </c>
      <c r="E113" s="642" t="str">
        <f t="shared" si="1"/>
        <v/>
      </c>
      <c r="H113" s="645" t="s">
        <v>723</v>
      </c>
    </row>
    <row r="114" spans="1:8" s="645" customFormat="1" x14ac:dyDescent="0.3">
      <c r="A114" s="649">
        <v>103</v>
      </c>
      <c r="B114" s="667" t="s">
        <v>2521</v>
      </c>
      <c r="C114" s="668" t="s">
        <v>2522</v>
      </c>
      <c r="E114" s="642" t="str">
        <f t="shared" si="1"/>
        <v/>
      </c>
      <c r="H114" s="645" t="s">
        <v>723</v>
      </c>
    </row>
    <row r="115" spans="1:8" s="645" customFormat="1" x14ac:dyDescent="0.3">
      <c r="A115" s="649">
        <v>104</v>
      </c>
      <c r="B115" s="667" t="s">
        <v>2523</v>
      </c>
      <c r="C115" s="668" t="s">
        <v>2175</v>
      </c>
      <c r="E115" s="642" t="str">
        <f t="shared" si="1"/>
        <v/>
      </c>
      <c r="H115" s="645" t="s">
        <v>723</v>
      </c>
    </row>
    <row r="116" spans="1:8" s="645" customFormat="1" x14ac:dyDescent="0.3">
      <c r="A116" s="649">
        <v>105</v>
      </c>
      <c r="B116" s="667" t="s">
        <v>2524</v>
      </c>
      <c r="C116" s="668" t="s">
        <v>2176</v>
      </c>
      <c r="E116" s="642" t="str">
        <f t="shared" si="1"/>
        <v/>
      </c>
      <c r="H116" s="645" t="s">
        <v>723</v>
      </c>
    </row>
    <row r="117" spans="1:8" s="645" customFormat="1" x14ac:dyDescent="0.3">
      <c r="A117" s="649">
        <v>106</v>
      </c>
      <c r="B117" s="667" t="s">
        <v>2525</v>
      </c>
      <c r="C117" s="668" t="s">
        <v>2177</v>
      </c>
      <c r="E117" s="642" t="str">
        <f t="shared" si="1"/>
        <v/>
      </c>
      <c r="H117" s="645" t="s">
        <v>723</v>
      </c>
    </row>
    <row r="118" spans="1:8" s="645" customFormat="1" x14ac:dyDescent="0.3">
      <c r="A118" s="649">
        <v>107</v>
      </c>
      <c r="B118" s="667" t="s">
        <v>2526</v>
      </c>
      <c r="C118" s="668" t="s">
        <v>2178</v>
      </c>
      <c r="E118" s="642" t="str">
        <f t="shared" si="1"/>
        <v/>
      </c>
      <c r="H118" s="645" t="s">
        <v>723</v>
      </c>
    </row>
    <row r="119" spans="1:8" s="645" customFormat="1" x14ac:dyDescent="0.3">
      <c r="A119" s="649">
        <v>108</v>
      </c>
      <c r="B119" s="667" t="s">
        <v>2527</v>
      </c>
      <c r="C119" s="668" t="s">
        <v>2179</v>
      </c>
      <c r="E119" s="642" t="str">
        <f t="shared" si="1"/>
        <v/>
      </c>
      <c r="H119" s="645" t="s">
        <v>723</v>
      </c>
    </row>
    <row r="120" spans="1:8" s="645" customFormat="1" x14ac:dyDescent="0.3">
      <c r="A120" s="649">
        <v>109</v>
      </c>
      <c r="B120" s="667" t="s">
        <v>2528</v>
      </c>
      <c r="C120" s="668" t="s">
        <v>2180</v>
      </c>
      <c r="E120" s="642" t="str">
        <f t="shared" si="1"/>
        <v/>
      </c>
      <c r="H120" s="645" t="s">
        <v>723</v>
      </c>
    </row>
    <row r="121" spans="1:8" s="645" customFormat="1" x14ac:dyDescent="0.3">
      <c r="A121" s="649">
        <v>110</v>
      </c>
      <c r="B121" s="667" t="s">
        <v>2529</v>
      </c>
      <c r="C121" s="668" t="s">
        <v>2181</v>
      </c>
      <c r="E121" s="642" t="str">
        <f t="shared" si="1"/>
        <v/>
      </c>
      <c r="H121" s="645" t="s">
        <v>723</v>
      </c>
    </row>
    <row r="122" spans="1:8" s="645" customFormat="1" x14ac:dyDescent="0.3">
      <c r="A122" s="649">
        <v>111</v>
      </c>
      <c r="B122" s="667" t="s">
        <v>2530</v>
      </c>
      <c r="C122" s="668" t="s">
        <v>2182</v>
      </c>
      <c r="E122" s="642" t="str">
        <f t="shared" si="1"/>
        <v/>
      </c>
      <c r="H122" s="645" t="s">
        <v>723</v>
      </c>
    </row>
    <row r="123" spans="1:8" s="645" customFormat="1" x14ac:dyDescent="0.3">
      <c r="A123" s="649">
        <v>112</v>
      </c>
      <c r="B123" s="667" t="s">
        <v>2531</v>
      </c>
      <c r="C123" s="668" t="s">
        <v>2183</v>
      </c>
      <c r="E123" s="642" t="str">
        <f t="shared" si="1"/>
        <v/>
      </c>
      <c r="H123" s="645" t="s">
        <v>723</v>
      </c>
    </row>
    <row r="124" spans="1:8" s="645" customFormat="1" x14ac:dyDescent="0.3">
      <c r="A124" s="649">
        <v>113</v>
      </c>
      <c r="B124" s="667" t="s">
        <v>2532</v>
      </c>
      <c r="C124" s="668" t="s">
        <v>2185</v>
      </c>
      <c r="E124" s="642" t="str">
        <f t="shared" si="1"/>
        <v/>
      </c>
      <c r="H124" s="645" t="s">
        <v>723</v>
      </c>
    </row>
    <row r="125" spans="1:8" s="645" customFormat="1" x14ac:dyDescent="0.3">
      <c r="A125" s="649">
        <v>114</v>
      </c>
      <c r="B125" s="667" t="s">
        <v>2533</v>
      </c>
      <c r="C125" s="668" t="s">
        <v>2187</v>
      </c>
      <c r="E125" s="642" t="str">
        <f t="shared" si="1"/>
        <v/>
      </c>
      <c r="H125" s="645" t="s">
        <v>723</v>
      </c>
    </row>
    <row r="126" spans="1:8" s="645" customFormat="1" x14ac:dyDescent="0.3">
      <c r="A126" s="649">
        <v>115</v>
      </c>
      <c r="B126" s="667" t="s">
        <v>2534</v>
      </c>
      <c r="C126" s="668" t="s">
        <v>2189</v>
      </c>
      <c r="E126" s="642" t="str">
        <f t="shared" si="1"/>
        <v/>
      </c>
      <c r="H126" s="645" t="s">
        <v>723</v>
      </c>
    </row>
    <row r="127" spans="1:8" s="645" customFormat="1" x14ac:dyDescent="0.3">
      <c r="A127" s="649">
        <v>116</v>
      </c>
      <c r="B127" s="667" t="s">
        <v>2535</v>
      </c>
      <c r="C127" s="668" t="s">
        <v>2191</v>
      </c>
      <c r="E127" s="642" t="str">
        <f t="shared" si="1"/>
        <v/>
      </c>
      <c r="H127" s="645" t="s">
        <v>723</v>
      </c>
    </row>
    <row r="128" spans="1:8" s="645" customFormat="1" x14ac:dyDescent="0.3">
      <c r="A128" s="649">
        <v>117</v>
      </c>
      <c r="B128" s="667" t="s">
        <v>2536</v>
      </c>
      <c r="C128" s="668" t="s">
        <v>2192</v>
      </c>
      <c r="E128" s="642" t="str">
        <f t="shared" si="1"/>
        <v/>
      </c>
      <c r="H128" s="645" t="s">
        <v>723</v>
      </c>
    </row>
    <row r="129" spans="1:8" s="645" customFormat="1" x14ac:dyDescent="0.3">
      <c r="A129" s="649">
        <v>118</v>
      </c>
      <c r="B129" s="667" t="s">
        <v>2537</v>
      </c>
      <c r="C129" s="668" t="s">
        <v>2193</v>
      </c>
      <c r="E129" s="642" t="str">
        <f t="shared" si="1"/>
        <v/>
      </c>
      <c r="H129" s="645" t="s">
        <v>723</v>
      </c>
    </row>
    <row r="130" spans="1:8" s="645" customFormat="1" x14ac:dyDescent="0.3">
      <c r="A130" s="649">
        <v>119</v>
      </c>
      <c r="B130" s="667" t="s">
        <v>2538</v>
      </c>
      <c r="C130" s="668" t="s">
        <v>2194</v>
      </c>
      <c r="E130" s="642" t="str">
        <f t="shared" si="1"/>
        <v/>
      </c>
      <c r="H130" s="645" t="s">
        <v>723</v>
      </c>
    </row>
    <row r="131" spans="1:8" s="645" customFormat="1" x14ac:dyDescent="0.3">
      <c r="A131" s="649">
        <v>120</v>
      </c>
      <c r="B131" s="667" t="s">
        <v>2539</v>
      </c>
      <c r="C131" s="668" t="s">
        <v>2195</v>
      </c>
      <c r="E131" s="642" t="str">
        <f t="shared" ref="E131:E194" si="2">IF(F131&gt;0,A131:A131,"")</f>
        <v/>
      </c>
      <c r="H131" s="645" t="s">
        <v>723</v>
      </c>
    </row>
    <row r="132" spans="1:8" s="645" customFormat="1" x14ac:dyDescent="0.3">
      <c r="A132" s="649">
        <v>121</v>
      </c>
      <c r="B132" s="667" t="s">
        <v>2540</v>
      </c>
      <c r="C132" s="668" t="s">
        <v>2196</v>
      </c>
      <c r="E132" s="642" t="str">
        <f t="shared" si="2"/>
        <v/>
      </c>
      <c r="H132" s="645" t="s">
        <v>723</v>
      </c>
    </row>
    <row r="133" spans="1:8" s="645" customFormat="1" x14ac:dyDescent="0.3">
      <c r="A133" s="649">
        <v>122</v>
      </c>
      <c r="B133" s="667" t="s">
        <v>2541</v>
      </c>
      <c r="C133" s="668" t="s">
        <v>2197</v>
      </c>
      <c r="E133" s="642" t="str">
        <f t="shared" si="2"/>
        <v/>
      </c>
      <c r="H133" s="645" t="s">
        <v>723</v>
      </c>
    </row>
    <row r="134" spans="1:8" s="645" customFormat="1" x14ac:dyDescent="0.3">
      <c r="A134" s="649">
        <v>123</v>
      </c>
      <c r="B134" s="667" t="s">
        <v>2542</v>
      </c>
      <c r="C134" s="668" t="s">
        <v>2198</v>
      </c>
      <c r="E134" s="642" t="str">
        <f t="shared" si="2"/>
        <v/>
      </c>
      <c r="H134" s="645" t="s">
        <v>723</v>
      </c>
    </row>
    <row r="135" spans="1:8" s="645" customFormat="1" x14ac:dyDescent="0.3">
      <c r="A135" s="649">
        <v>124</v>
      </c>
      <c r="B135" s="667" t="s">
        <v>2543</v>
      </c>
      <c r="C135" s="668" t="s">
        <v>2199</v>
      </c>
      <c r="E135" s="642" t="str">
        <f t="shared" si="2"/>
        <v/>
      </c>
      <c r="H135" s="645" t="s">
        <v>723</v>
      </c>
    </row>
    <row r="136" spans="1:8" s="645" customFormat="1" x14ac:dyDescent="0.3">
      <c r="A136" s="649">
        <v>125</v>
      </c>
      <c r="B136" s="667" t="s">
        <v>2544</v>
      </c>
      <c r="C136" s="668" t="s">
        <v>2201</v>
      </c>
      <c r="E136" s="642" t="str">
        <f t="shared" si="2"/>
        <v/>
      </c>
      <c r="H136" s="645" t="s">
        <v>723</v>
      </c>
    </row>
    <row r="137" spans="1:8" s="645" customFormat="1" x14ac:dyDescent="0.3">
      <c r="A137" s="649">
        <v>126</v>
      </c>
      <c r="B137" s="667" t="s">
        <v>2545</v>
      </c>
      <c r="C137" s="668" t="s">
        <v>2203</v>
      </c>
      <c r="E137" s="642" t="str">
        <f t="shared" si="2"/>
        <v/>
      </c>
      <c r="H137" s="645" t="s">
        <v>723</v>
      </c>
    </row>
    <row r="138" spans="1:8" s="645" customFormat="1" x14ac:dyDescent="0.3">
      <c r="A138" s="649">
        <v>127</v>
      </c>
      <c r="B138" s="667" t="s">
        <v>2546</v>
      </c>
      <c r="C138" s="668" t="s">
        <v>2204</v>
      </c>
      <c r="E138" s="642" t="str">
        <f t="shared" si="2"/>
        <v/>
      </c>
      <c r="H138" s="645" t="s">
        <v>723</v>
      </c>
    </row>
    <row r="139" spans="1:8" s="645" customFormat="1" x14ac:dyDescent="0.3">
      <c r="A139" s="649">
        <v>128</v>
      </c>
      <c r="B139" s="667" t="s">
        <v>2547</v>
      </c>
      <c r="C139" s="668" t="s">
        <v>2206</v>
      </c>
      <c r="E139" s="642" t="str">
        <f t="shared" si="2"/>
        <v/>
      </c>
      <c r="H139" s="645" t="s">
        <v>723</v>
      </c>
    </row>
    <row r="140" spans="1:8" s="645" customFormat="1" x14ac:dyDescent="0.3">
      <c r="A140" s="649">
        <v>129</v>
      </c>
      <c r="B140" s="667" t="s">
        <v>2548</v>
      </c>
      <c r="C140" s="668" t="s">
        <v>2207</v>
      </c>
      <c r="E140" s="642" t="str">
        <f t="shared" si="2"/>
        <v/>
      </c>
      <c r="H140" s="645" t="s">
        <v>723</v>
      </c>
    </row>
    <row r="141" spans="1:8" s="645" customFormat="1" x14ac:dyDescent="0.3">
      <c r="A141" s="649">
        <v>130</v>
      </c>
      <c r="B141" s="667" t="s">
        <v>2549</v>
      </c>
      <c r="C141" s="668" t="s">
        <v>2208</v>
      </c>
      <c r="E141" s="642" t="str">
        <f t="shared" si="2"/>
        <v/>
      </c>
      <c r="H141" s="645" t="s">
        <v>723</v>
      </c>
    </row>
    <row r="142" spans="1:8" s="645" customFormat="1" x14ac:dyDescent="0.3">
      <c r="A142" s="649">
        <v>131</v>
      </c>
      <c r="B142" s="667" t="s">
        <v>2550</v>
      </c>
      <c r="C142" s="668" t="s">
        <v>2209</v>
      </c>
      <c r="E142" s="642" t="str">
        <f t="shared" si="2"/>
        <v/>
      </c>
      <c r="H142" s="645" t="s">
        <v>723</v>
      </c>
    </row>
    <row r="143" spans="1:8" s="645" customFormat="1" x14ac:dyDescent="0.3">
      <c r="A143" s="649">
        <v>132</v>
      </c>
      <c r="B143" s="667" t="s">
        <v>2551</v>
      </c>
      <c r="C143" s="668" t="s">
        <v>2211</v>
      </c>
      <c r="E143" s="642" t="str">
        <f t="shared" si="2"/>
        <v/>
      </c>
      <c r="H143" s="645" t="s">
        <v>723</v>
      </c>
    </row>
    <row r="144" spans="1:8" s="645" customFormat="1" x14ac:dyDescent="0.3">
      <c r="A144" s="649">
        <v>133</v>
      </c>
      <c r="B144" s="667" t="s">
        <v>2552</v>
      </c>
      <c r="C144" s="668" t="s">
        <v>2212</v>
      </c>
      <c r="E144" s="642" t="str">
        <f t="shared" si="2"/>
        <v/>
      </c>
      <c r="H144" s="645" t="s">
        <v>723</v>
      </c>
    </row>
    <row r="145" spans="1:8" s="645" customFormat="1" x14ac:dyDescent="0.3">
      <c r="A145" s="649">
        <v>134</v>
      </c>
      <c r="B145" s="667" t="s">
        <v>2553</v>
      </c>
      <c r="C145" s="668" t="s">
        <v>2213</v>
      </c>
      <c r="E145" s="642" t="str">
        <f t="shared" si="2"/>
        <v/>
      </c>
      <c r="H145" s="645" t="s">
        <v>723</v>
      </c>
    </row>
    <row r="146" spans="1:8" s="645" customFormat="1" x14ac:dyDescent="0.3">
      <c r="A146" s="649">
        <v>135</v>
      </c>
      <c r="B146" s="667" t="s">
        <v>2554</v>
      </c>
      <c r="C146" s="668" t="s">
        <v>2214</v>
      </c>
      <c r="E146" s="642" t="str">
        <f t="shared" si="2"/>
        <v/>
      </c>
      <c r="H146" s="645" t="s">
        <v>723</v>
      </c>
    </row>
    <row r="147" spans="1:8" s="645" customFormat="1" x14ac:dyDescent="0.3">
      <c r="A147" s="648"/>
      <c r="B147" s="646"/>
      <c r="C147" s="647"/>
      <c r="E147" s="642" t="str">
        <f t="shared" si="2"/>
        <v/>
      </c>
      <c r="H147" s="645" t="s">
        <v>723</v>
      </c>
    </row>
    <row r="148" spans="1:8" s="645" customFormat="1" x14ac:dyDescent="0.3">
      <c r="A148" s="673" t="s">
        <v>2555</v>
      </c>
      <c r="C148" s="647"/>
      <c r="E148" s="642" t="str">
        <f t="shared" si="2"/>
        <v>Financials</v>
      </c>
      <c r="F148" s="645">
        <f>COUNT(A149:A203)</f>
        <v>55</v>
      </c>
      <c r="H148" s="645" t="s">
        <v>723</v>
      </c>
    </row>
    <row r="149" spans="1:8" s="645" customFormat="1" x14ac:dyDescent="0.3">
      <c r="A149" s="666">
        <v>136</v>
      </c>
      <c r="B149" s="669" t="s">
        <v>2556</v>
      </c>
      <c r="C149" s="670" t="s">
        <v>2215</v>
      </c>
      <c r="E149" s="642" t="str">
        <f t="shared" si="2"/>
        <v/>
      </c>
      <c r="H149" s="645" t="s">
        <v>723</v>
      </c>
    </row>
    <row r="150" spans="1:8" s="645" customFormat="1" x14ac:dyDescent="0.3">
      <c r="A150" s="666">
        <v>137</v>
      </c>
      <c r="B150" s="669" t="s">
        <v>2557</v>
      </c>
      <c r="C150" s="670" t="s">
        <v>2216</v>
      </c>
      <c r="E150" s="642" t="str">
        <f t="shared" si="2"/>
        <v/>
      </c>
      <c r="H150" s="645" t="s">
        <v>723</v>
      </c>
    </row>
    <row r="151" spans="1:8" s="645" customFormat="1" x14ac:dyDescent="0.3">
      <c r="A151" s="649">
        <v>138</v>
      </c>
      <c r="B151" s="667" t="s">
        <v>2558</v>
      </c>
      <c r="C151" s="668" t="s">
        <v>2217</v>
      </c>
      <c r="E151" s="642" t="str">
        <f t="shared" si="2"/>
        <v/>
      </c>
      <c r="H151" s="645" t="s">
        <v>723</v>
      </c>
    </row>
    <row r="152" spans="1:8" s="645" customFormat="1" x14ac:dyDescent="0.3">
      <c r="A152" s="649">
        <v>139</v>
      </c>
      <c r="B152" s="667" t="s">
        <v>2559</v>
      </c>
      <c r="C152" s="668" t="s">
        <v>2218</v>
      </c>
      <c r="E152" s="642" t="str">
        <f t="shared" si="2"/>
        <v/>
      </c>
      <c r="H152" s="645" t="s">
        <v>723</v>
      </c>
    </row>
    <row r="153" spans="1:8" s="645" customFormat="1" x14ac:dyDescent="0.3">
      <c r="A153" s="649">
        <v>140</v>
      </c>
      <c r="B153" s="667" t="s">
        <v>2560</v>
      </c>
      <c r="C153" s="668" t="s">
        <v>2219</v>
      </c>
      <c r="E153" s="642" t="str">
        <f t="shared" si="2"/>
        <v/>
      </c>
      <c r="H153" s="645" t="s">
        <v>723</v>
      </c>
    </row>
    <row r="154" spans="1:8" s="645" customFormat="1" x14ac:dyDescent="0.3">
      <c r="A154" s="649">
        <v>141</v>
      </c>
      <c r="B154" s="667" t="s">
        <v>2561</v>
      </c>
      <c r="C154" s="668" t="s">
        <v>2220</v>
      </c>
      <c r="E154" s="642" t="str">
        <f t="shared" si="2"/>
        <v/>
      </c>
      <c r="H154" s="645" t="s">
        <v>723</v>
      </c>
    </row>
    <row r="155" spans="1:8" s="645" customFormat="1" x14ac:dyDescent="0.3">
      <c r="A155" s="649">
        <v>142</v>
      </c>
      <c r="B155" s="667" t="s">
        <v>2562</v>
      </c>
      <c r="C155" s="668" t="s">
        <v>2221</v>
      </c>
      <c r="E155" s="642" t="str">
        <f t="shared" si="2"/>
        <v/>
      </c>
      <c r="H155" s="645" t="s">
        <v>723</v>
      </c>
    </row>
    <row r="156" spans="1:8" s="645" customFormat="1" x14ac:dyDescent="0.3">
      <c r="A156" s="649">
        <v>143</v>
      </c>
      <c r="B156" s="667" t="s">
        <v>2563</v>
      </c>
      <c r="C156" s="668" t="s">
        <v>2222</v>
      </c>
      <c r="E156" s="642" t="str">
        <f t="shared" si="2"/>
        <v/>
      </c>
      <c r="H156" s="645" t="s">
        <v>723</v>
      </c>
    </row>
    <row r="157" spans="1:8" s="645" customFormat="1" x14ac:dyDescent="0.3">
      <c r="A157" s="649">
        <v>144</v>
      </c>
      <c r="B157" s="667" t="s">
        <v>2564</v>
      </c>
      <c r="C157" s="668" t="s">
        <v>2223</v>
      </c>
      <c r="E157" s="642" t="str">
        <f t="shared" si="2"/>
        <v/>
      </c>
      <c r="H157" s="645" t="s">
        <v>723</v>
      </c>
    </row>
    <row r="158" spans="1:8" s="645" customFormat="1" x14ac:dyDescent="0.3">
      <c r="A158" s="649">
        <v>145</v>
      </c>
      <c r="B158" s="667" t="s">
        <v>2565</v>
      </c>
      <c r="C158" s="668" t="s">
        <v>2224</v>
      </c>
      <c r="E158" s="642" t="str">
        <f t="shared" si="2"/>
        <v/>
      </c>
      <c r="H158" s="645" t="s">
        <v>723</v>
      </c>
    </row>
    <row r="159" spans="1:8" s="645" customFormat="1" x14ac:dyDescent="0.3">
      <c r="A159" s="649">
        <v>146</v>
      </c>
      <c r="B159" s="667" t="s">
        <v>2566</v>
      </c>
      <c r="C159" s="668" t="s">
        <v>2225</v>
      </c>
      <c r="E159" s="642" t="str">
        <f t="shared" si="2"/>
        <v/>
      </c>
      <c r="H159" s="645" t="s">
        <v>723</v>
      </c>
    </row>
    <row r="160" spans="1:8" s="645" customFormat="1" x14ac:dyDescent="0.3">
      <c r="A160" s="649">
        <v>147</v>
      </c>
      <c r="B160" s="667" t="s">
        <v>2567</v>
      </c>
      <c r="C160" s="668" t="s">
        <v>2226</v>
      </c>
      <c r="E160" s="642" t="str">
        <f t="shared" si="2"/>
        <v/>
      </c>
      <c r="H160" s="645" t="s">
        <v>723</v>
      </c>
    </row>
    <row r="161" spans="1:8" s="645" customFormat="1" x14ac:dyDescent="0.3">
      <c r="A161" s="649">
        <v>148</v>
      </c>
      <c r="B161" s="667" t="s">
        <v>276</v>
      </c>
      <c r="C161" s="668" t="s">
        <v>2227</v>
      </c>
      <c r="E161" s="642" t="str">
        <f t="shared" si="2"/>
        <v/>
      </c>
      <c r="H161" s="645" t="s">
        <v>723</v>
      </c>
    </row>
    <row r="162" spans="1:8" s="645" customFormat="1" ht="31.2" x14ac:dyDescent="0.3">
      <c r="A162" s="666">
        <v>149</v>
      </c>
      <c r="B162" s="669" t="s">
        <v>449</v>
      </c>
      <c r="C162" s="670" t="s">
        <v>450</v>
      </c>
      <c r="E162" s="642" t="str">
        <f t="shared" si="2"/>
        <v/>
      </c>
      <c r="H162" s="645" t="s">
        <v>723</v>
      </c>
    </row>
    <row r="163" spans="1:8" s="645" customFormat="1" x14ac:dyDescent="0.3">
      <c r="A163" s="649">
        <v>150</v>
      </c>
      <c r="B163" s="667" t="s">
        <v>451</v>
      </c>
      <c r="C163" s="668" t="s">
        <v>452</v>
      </c>
      <c r="E163" s="642" t="str">
        <f t="shared" si="2"/>
        <v/>
      </c>
      <c r="H163" s="645" t="s">
        <v>723</v>
      </c>
    </row>
    <row r="164" spans="1:8" s="645" customFormat="1" x14ac:dyDescent="0.3">
      <c r="A164" s="649">
        <v>151</v>
      </c>
      <c r="B164" s="667" t="s">
        <v>2568</v>
      </c>
      <c r="C164" s="668" t="s">
        <v>2228</v>
      </c>
      <c r="E164" s="642" t="str">
        <f t="shared" si="2"/>
        <v/>
      </c>
      <c r="H164" s="645" t="s">
        <v>723</v>
      </c>
    </row>
    <row r="165" spans="1:8" s="645" customFormat="1" x14ac:dyDescent="0.3">
      <c r="A165" s="649">
        <v>152</v>
      </c>
      <c r="B165" s="667" t="s">
        <v>2569</v>
      </c>
      <c r="C165" s="668" t="s">
        <v>2229</v>
      </c>
      <c r="E165" s="642" t="str">
        <f t="shared" si="2"/>
        <v/>
      </c>
      <c r="H165" s="645" t="s">
        <v>723</v>
      </c>
    </row>
    <row r="166" spans="1:8" s="645" customFormat="1" x14ac:dyDescent="0.3">
      <c r="A166" s="649">
        <v>153</v>
      </c>
      <c r="B166" s="667" t="s">
        <v>2570</v>
      </c>
      <c r="C166" s="668" t="s">
        <v>2230</v>
      </c>
      <c r="E166" s="642" t="str">
        <f t="shared" si="2"/>
        <v/>
      </c>
      <c r="H166" s="645" t="s">
        <v>723</v>
      </c>
    </row>
    <row r="167" spans="1:8" s="645" customFormat="1" x14ac:dyDescent="0.3">
      <c r="A167" s="666">
        <v>154</v>
      </c>
      <c r="B167" s="669" t="s">
        <v>2571</v>
      </c>
      <c r="C167" s="670" t="s">
        <v>2231</v>
      </c>
      <c r="E167" s="642" t="str">
        <f t="shared" si="2"/>
        <v/>
      </c>
      <c r="H167" s="645" t="s">
        <v>723</v>
      </c>
    </row>
    <row r="168" spans="1:8" s="645" customFormat="1" x14ac:dyDescent="0.3">
      <c r="A168" s="666">
        <v>155</v>
      </c>
      <c r="B168" s="669" t="s">
        <v>453</v>
      </c>
      <c r="C168" s="670" t="s">
        <v>454</v>
      </c>
      <c r="E168" s="642" t="str">
        <f t="shared" si="2"/>
        <v/>
      </c>
      <c r="H168" s="645" t="s">
        <v>723</v>
      </c>
    </row>
    <row r="169" spans="1:8" s="645" customFormat="1" x14ac:dyDescent="0.3">
      <c r="A169" s="649">
        <v>156</v>
      </c>
      <c r="B169" s="667" t="s">
        <v>2572</v>
      </c>
      <c r="C169" s="668" t="s">
        <v>2232</v>
      </c>
      <c r="E169" s="642" t="str">
        <f t="shared" si="2"/>
        <v/>
      </c>
      <c r="H169" s="645" t="s">
        <v>723</v>
      </c>
    </row>
    <row r="170" spans="1:8" s="645" customFormat="1" x14ac:dyDescent="0.3">
      <c r="A170" s="649">
        <v>157</v>
      </c>
      <c r="B170" s="667" t="s">
        <v>2573</v>
      </c>
      <c r="C170" s="668" t="s">
        <v>2233</v>
      </c>
      <c r="E170" s="642" t="str">
        <f t="shared" si="2"/>
        <v/>
      </c>
      <c r="H170" s="645" t="s">
        <v>723</v>
      </c>
    </row>
    <row r="171" spans="1:8" s="645" customFormat="1" x14ac:dyDescent="0.3">
      <c r="A171" s="666">
        <v>158</v>
      </c>
      <c r="B171" s="669" t="s">
        <v>2574</v>
      </c>
      <c r="C171" s="670" t="s">
        <v>2234</v>
      </c>
      <c r="E171" s="642" t="str">
        <f t="shared" si="2"/>
        <v/>
      </c>
      <c r="H171" s="645" t="s">
        <v>723</v>
      </c>
    </row>
    <row r="172" spans="1:8" s="645" customFormat="1" x14ac:dyDescent="0.3">
      <c r="A172" s="666">
        <v>159</v>
      </c>
      <c r="B172" s="669" t="s">
        <v>2575</v>
      </c>
      <c r="C172" s="670" t="s">
        <v>2235</v>
      </c>
      <c r="E172" s="642" t="str">
        <f t="shared" si="2"/>
        <v/>
      </c>
      <c r="H172" s="645" t="s">
        <v>723</v>
      </c>
    </row>
    <row r="173" spans="1:8" s="645" customFormat="1" x14ac:dyDescent="0.3">
      <c r="A173" s="666">
        <v>160</v>
      </c>
      <c r="B173" s="669" t="s">
        <v>2576</v>
      </c>
      <c r="C173" s="670" t="s">
        <v>2236</v>
      </c>
      <c r="E173" s="642" t="str">
        <f t="shared" si="2"/>
        <v/>
      </c>
      <c r="H173" s="645" t="s">
        <v>723</v>
      </c>
    </row>
    <row r="174" spans="1:8" s="645" customFormat="1" x14ac:dyDescent="0.3">
      <c r="A174" s="649">
        <v>161</v>
      </c>
      <c r="B174" s="667" t="s">
        <v>2577</v>
      </c>
      <c r="C174" s="668" t="s">
        <v>2237</v>
      </c>
      <c r="E174" s="642" t="str">
        <f t="shared" si="2"/>
        <v/>
      </c>
      <c r="H174" s="645" t="s">
        <v>723</v>
      </c>
    </row>
    <row r="175" spans="1:8" s="645" customFormat="1" x14ac:dyDescent="0.3">
      <c r="A175" s="649">
        <v>162</v>
      </c>
      <c r="B175" s="667" t="s">
        <v>2578</v>
      </c>
      <c r="C175" s="668" t="s">
        <v>2238</v>
      </c>
      <c r="E175" s="642" t="str">
        <f t="shared" si="2"/>
        <v/>
      </c>
      <c r="H175" s="645" t="s">
        <v>723</v>
      </c>
    </row>
    <row r="176" spans="1:8" s="645" customFormat="1" x14ac:dyDescent="0.3">
      <c r="A176" s="649">
        <v>163</v>
      </c>
      <c r="B176" s="667" t="s">
        <v>2579</v>
      </c>
      <c r="C176" s="668" t="s">
        <v>2239</v>
      </c>
      <c r="E176" s="642" t="str">
        <f t="shared" si="2"/>
        <v/>
      </c>
      <c r="H176" s="645" t="s">
        <v>723</v>
      </c>
    </row>
    <row r="177" spans="1:8" s="645" customFormat="1" x14ac:dyDescent="0.3">
      <c r="A177" s="649">
        <v>164</v>
      </c>
      <c r="B177" s="667" t="s">
        <v>2580</v>
      </c>
      <c r="C177" s="668" t="s">
        <v>2240</v>
      </c>
      <c r="E177" s="642" t="str">
        <f t="shared" si="2"/>
        <v/>
      </c>
      <c r="H177" s="645" t="s">
        <v>723</v>
      </c>
    </row>
    <row r="178" spans="1:8" s="645" customFormat="1" ht="31.2" x14ac:dyDescent="0.3">
      <c r="A178" s="666">
        <v>165</v>
      </c>
      <c r="B178" s="669" t="s">
        <v>2581</v>
      </c>
      <c r="C178" s="670" t="s">
        <v>2241</v>
      </c>
      <c r="E178" s="642" t="str">
        <f t="shared" si="2"/>
        <v/>
      </c>
      <c r="H178" s="645" t="s">
        <v>723</v>
      </c>
    </row>
    <row r="179" spans="1:8" s="645" customFormat="1" x14ac:dyDescent="0.3">
      <c r="A179" s="649">
        <v>166</v>
      </c>
      <c r="B179" s="667" t="s">
        <v>2582</v>
      </c>
      <c r="C179" s="668" t="s">
        <v>2242</v>
      </c>
      <c r="E179" s="642" t="str">
        <f t="shared" si="2"/>
        <v/>
      </c>
      <c r="H179" s="645" t="s">
        <v>723</v>
      </c>
    </row>
    <row r="180" spans="1:8" s="645" customFormat="1" x14ac:dyDescent="0.3">
      <c r="A180" s="649">
        <v>167</v>
      </c>
      <c r="B180" s="667" t="s">
        <v>2583</v>
      </c>
      <c r="C180" s="668" t="s">
        <v>2243</v>
      </c>
      <c r="E180" s="642" t="str">
        <f t="shared" si="2"/>
        <v/>
      </c>
      <c r="H180" s="645" t="s">
        <v>723</v>
      </c>
    </row>
    <row r="181" spans="1:8" s="645" customFormat="1" x14ac:dyDescent="0.3">
      <c r="A181" s="649">
        <v>168</v>
      </c>
      <c r="B181" s="667" t="s">
        <v>2584</v>
      </c>
      <c r="C181" s="668" t="s">
        <v>2244</v>
      </c>
      <c r="E181" s="642" t="str">
        <f t="shared" si="2"/>
        <v/>
      </c>
      <c r="H181" s="645" t="s">
        <v>723</v>
      </c>
    </row>
    <row r="182" spans="1:8" s="645" customFormat="1" x14ac:dyDescent="0.3">
      <c r="A182" s="649">
        <v>169</v>
      </c>
      <c r="B182" s="667" t="s">
        <v>2585</v>
      </c>
      <c r="C182" s="668" t="s">
        <v>2245</v>
      </c>
      <c r="E182" s="642" t="str">
        <f t="shared" si="2"/>
        <v/>
      </c>
      <c r="H182" s="645" t="s">
        <v>723</v>
      </c>
    </row>
    <row r="183" spans="1:8" s="645" customFormat="1" x14ac:dyDescent="0.3">
      <c r="A183" s="649">
        <v>170</v>
      </c>
      <c r="B183" s="667" t="s">
        <v>2586</v>
      </c>
      <c r="C183" s="668" t="s">
        <v>2247</v>
      </c>
      <c r="E183" s="642" t="str">
        <f t="shared" si="2"/>
        <v/>
      </c>
      <c r="H183" s="645" t="s">
        <v>723</v>
      </c>
    </row>
    <row r="184" spans="1:8" s="645" customFormat="1" x14ac:dyDescent="0.3">
      <c r="A184" s="666">
        <v>171</v>
      </c>
      <c r="B184" s="669" t="s">
        <v>20</v>
      </c>
      <c r="C184" s="670" t="s">
        <v>455</v>
      </c>
      <c r="E184" s="642" t="str">
        <f t="shared" si="2"/>
        <v/>
      </c>
      <c r="H184" s="645" t="s">
        <v>723</v>
      </c>
    </row>
    <row r="185" spans="1:8" s="645" customFormat="1" x14ac:dyDescent="0.3">
      <c r="A185" s="666">
        <v>172</v>
      </c>
      <c r="B185" s="669" t="s">
        <v>2587</v>
      </c>
      <c r="C185" s="670" t="s">
        <v>2248</v>
      </c>
      <c r="E185" s="642" t="str">
        <f t="shared" si="2"/>
        <v/>
      </c>
      <c r="H185" s="645" t="s">
        <v>723</v>
      </c>
    </row>
    <row r="186" spans="1:8" s="645" customFormat="1" x14ac:dyDescent="0.3">
      <c r="A186" s="649">
        <v>173</v>
      </c>
      <c r="B186" s="667" t="s">
        <v>2588</v>
      </c>
      <c r="C186" s="668" t="s">
        <v>2249</v>
      </c>
      <c r="E186" s="642" t="str">
        <f t="shared" si="2"/>
        <v/>
      </c>
      <c r="H186" s="645" t="s">
        <v>723</v>
      </c>
    </row>
    <row r="187" spans="1:8" s="645" customFormat="1" x14ac:dyDescent="0.3">
      <c r="A187" s="649">
        <v>174</v>
      </c>
      <c r="B187" s="667" t="s">
        <v>2589</v>
      </c>
      <c r="C187" s="668" t="s">
        <v>2250</v>
      </c>
      <c r="E187" s="642" t="str">
        <f t="shared" si="2"/>
        <v/>
      </c>
      <c r="H187" s="645" t="s">
        <v>723</v>
      </c>
    </row>
    <row r="188" spans="1:8" s="645" customFormat="1" x14ac:dyDescent="0.3">
      <c r="A188" s="649">
        <v>175</v>
      </c>
      <c r="B188" s="667" t="s">
        <v>2590</v>
      </c>
      <c r="C188" s="668" t="s">
        <v>2251</v>
      </c>
      <c r="E188" s="642" t="str">
        <f t="shared" si="2"/>
        <v/>
      </c>
      <c r="H188" s="645" t="s">
        <v>723</v>
      </c>
    </row>
    <row r="189" spans="1:8" s="645" customFormat="1" x14ac:dyDescent="0.3">
      <c r="A189" s="666">
        <v>176</v>
      </c>
      <c r="B189" s="669" t="s">
        <v>456</v>
      </c>
      <c r="C189" s="670" t="s">
        <v>457</v>
      </c>
      <c r="E189" s="642" t="str">
        <f t="shared" si="2"/>
        <v/>
      </c>
      <c r="H189" s="645" t="s">
        <v>723</v>
      </c>
    </row>
    <row r="190" spans="1:8" s="645" customFormat="1" x14ac:dyDescent="0.3">
      <c r="A190" s="666">
        <v>177</v>
      </c>
      <c r="B190" s="669" t="s">
        <v>2591</v>
      </c>
      <c r="C190" s="670" t="s">
        <v>2252</v>
      </c>
      <c r="E190" s="642" t="str">
        <f t="shared" si="2"/>
        <v/>
      </c>
      <c r="H190" s="645" t="s">
        <v>723</v>
      </c>
    </row>
    <row r="191" spans="1:8" s="645" customFormat="1" x14ac:dyDescent="0.3">
      <c r="A191" s="666">
        <v>178</v>
      </c>
      <c r="B191" s="669" t="s">
        <v>2592</v>
      </c>
      <c r="C191" s="670" t="s">
        <v>2253</v>
      </c>
      <c r="E191" s="642" t="str">
        <f t="shared" si="2"/>
        <v/>
      </c>
      <c r="H191" s="645" t="s">
        <v>723</v>
      </c>
    </row>
    <row r="192" spans="1:8" s="645" customFormat="1" x14ac:dyDescent="0.3">
      <c r="A192" s="649">
        <v>179</v>
      </c>
      <c r="B192" s="667" t="s">
        <v>2593</v>
      </c>
      <c r="C192" s="668" t="s">
        <v>2255</v>
      </c>
      <c r="E192" s="642" t="str">
        <f t="shared" si="2"/>
        <v/>
      </c>
      <c r="H192" s="645" t="s">
        <v>723</v>
      </c>
    </row>
    <row r="193" spans="1:8" s="645" customFormat="1" x14ac:dyDescent="0.3">
      <c r="A193" s="666">
        <v>180</v>
      </c>
      <c r="B193" s="669" t="s">
        <v>458</v>
      </c>
      <c r="C193" s="670" t="s">
        <v>459</v>
      </c>
      <c r="E193" s="642" t="str">
        <f t="shared" si="2"/>
        <v/>
      </c>
      <c r="H193" s="645" t="s">
        <v>723</v>
      </c>
    </row>
    <row r="194" spans="1:8" s="645" customFormat="1" x14ac:dyDescent="0.3">
      <c r="A194" s="649">
        <v>181</v>
      </c>
      <c r="B194" s="667" t="s">
        <v>460</v>
      </c>
      <c r="C194" s="668" t="s">
        <v>461</v>
      </c>
      <c r="E194" s="642" t="str">
        <f t="shared" si="2"/>
        <v/>
      </c>
      <c r="H194" s="645" t="s">
        <v>723</v>
      </c>
    </row>
    <row r="195" spans="1:8" s="645" customFormat="1" x14ac:dyDescent="0.3">
      <c r="A195" s="666">
        <v>182</v>
      </c>
      <c r="B195" s="669" t="s">
        <v>2594</v>
      </c>
      <c r="C195" s="670" t="s">
        <v>2256</v>
      </c>
      <c r="E195" s="642" t="str">
        <f t="shared" ref="E195:E258" si="3">IF(F195&gt;0,A195:A195,"")</f>
        <v/>
      </c>
      <c r="H195" s="645" t="s">
        <v>723</v>
      </c>
    </row>
    <row r="196" spans="1:8" s="645" customFormat="1" x14ac:dyDescent="0.3">
      <c r="A196" s="649">
        <v>183</v>
      </c>
      <c r="B196" s="667" t="s">
        <v>2595</v>
      </c>
      <c r="C196" s="668" t="s">
        <v>2257</v>
      </c>
      <c r="E196" s="642" t="str">
        <f t="shared" si="3"/>
        <v/>
      </c>
      <c r="H196" s="645" t="s">
        <v>723</v>
      </c>
    </row>
    <row r="197" spans="1:8" s="645" customFormat="1" x14ac:dyDescent="0.3">
      <c r="A197" s="666">
        <v>184</v>
      </c>
      <c r="B197" s="669" t="s">
        <v>2596</v>
      </c>
      <c r="C197" s="670" t="s">
        <v>2258</v>
      </c>
      <c r="E197" s="642" t="str">
        <f t="shared" si="3"/>
        <v/>
      </c>
      <c r="H197" s="645" t="s">
        <v>723</v>
      </c>
    </row>
    <row r="198" spans="1:8" s="645" customFormat="1" x14ac:dyDescent="0.3">
      <c r="A198" s="649">
        <v>185</v>
      </c>
      <c r="B198" s="667" t="s">
        <v>2597</v>
      </c>
      <c r="C198" s="668" t="s">
        <v>2259</v>
      </c>
      <c r="E198" s="642" t="str">
        <f t="shared" si="3"/>
        <v/>
      </c>
      <c r="H198" s="645" t="s">
        <v>723</v>
      </c>
    </row>
    <row r="199" spans="1:8" s="645" customFormat="1" x14ac:dyDescent="0.3">
      <c r="A199" s="666">
        <v>186</v>
      </c>
      <c r="B199" s="669" t="s">
        <v>2598</v>
      </c>
      <c r="C199" s="670" t="s">
        <v>2260</v>
      </c>
      <c r="E199" s="642" t="str">
        <f t="shared" si="3"/>
        <v/>
      </c>
      <c r="H199" s="645" t="s">
        <v>723</v>
      </c>
    </row>
    <row r="200" spans="1:8" s="645" customFormat="1" x14ac:dyDescent="0.3">
      <c r="A200" s="666">
        <v>187</v>
      </c>
      <c r="B200" s="669" t="s">
        <v>2599</v>
      </c>
      <c r="C200" s="670" t="s">
        <v>2261</v>
      </c>
      <c r="E200" s="642" t="str">
        <f t="shared" si="3"/>
        <v/>
      </c>
      <c r="H200" s="645" t="s">
        <v>723</v>
      </c>
    </row>
    <row r="201" spans="1:8" s="645" customFormat="1" x14ac:dyDescent="0.3">
      <c r="A201" s="666">
        <v>188</v>
      </c>
      <c r="B201" s="669" t="s">
        <v>2600</v>
      </c>
      <c r="C201" s="670" t="s">
        <v>2262</v>
      </c>
      <c r="E201" s="642" t="str">
        <f t="shared" si="3"/>
        <v/>
      </c>
      <c r="H201" s="645" t="s">
        <v>723</v>
      </c>
    </row>
    <row r="202" spans="1:8" s="645" customFormat="1" x14ac:dyDescent="0.3">
      <c r="A202" s="649">
        <v>189</v>
      </c>
      <c r="B202" s="667" t="s">
        <v>2601</v>
      </c>
      <c r="C202" s="668" t="s">
        <v>2263</v>
      </c>
      <c r="E202" s="642" t="str">
        <f t="shared" si="3"/>
        <v/>
      </c>
      <c r="H202" s="645" t="s">
        <v>723</v>
      </c>
    </row>
    <row r="203" spans="1:8" s="645" customFormat="1" x14ac:dyDescent="0.3">
      <c r="A203" s="649">
        <v>190</v>
      </c>
      <c r="B203" s="667" t="s">
        <v>2602</v>
      </c>
      <c r="C203" s="668" t="s">
        <v>2264</v>
      </c>
      <c r="E203" s="642" t="str">
        <f t="shared" si="3"/>
        <v/>
      </c>
      <c r="H203" s="645" t="s">
        <v>723</v>
      </c>
    </row>
    <row r="204" spans="1:8" s="645" customFormat="1" x14ac:dyDescent="0.3">
      <c r="A204" s="648"/>
      <c r="B204" s="646"/>
      <c r="C204" s="647"/>
      <c r="E204" s="642" t="str">
        <f t="shared" si="3"/>
        <v/>
      </c>
      <c r="H204" s="645" t="s">
        <v>723</v>
      </c>
    </row>
    <row r="205" spans="1:8" s="645" customFormat="1" x14ac:dyDescent="0.3">
      <c r="A205" s="673" t="s">
        <v>2603</v>
      </c>
      <c r="C205" s="647"/>
      <c r="E205" s="642" t="str">
        <f t="shared" si="3"/>
        <v>Informations</v>
      </c>
      <c r="F205" s="645">
        <f>COUNT(A206:A225)</f>
        <v>20</v>
      </c>
      <c r="H205" s="645" t="s">
        <v>723</v>
      </c>
    </row>
    <row r="206" spans="1:8" s="645" customFormat="1" ht="31.2" x14ac:dyDescent="0.3">
      <c r="A206" s="666">
        <v>191</v>
      </c>
      <c r="B206" s="669" t="s">
        <v>463</v>
      </c>
      <c r="C206" s="671" t="s">
        <v>2604</v>
      </c>
      <c r="E206" s="642" t="str">
        <f t="shared" si="3"/>
        <v/>
      </c>
      <c r="H206" s="645" t="s">
        <v>723</v>
      </c>
    </row>
    <row r="207" spans="1:8" s="645" customFormat="1" x14ac:dyDescent="0.3">
      <c r="A207" s="666">
        <v>192</v>
      </c>
      <c r="B207" s="669" t="s">
        <v>465</v>
      </c>
      <c r="C207" s="670" t="s">
        <v>466</v>
      </c>
      <c r="E207" s="642" t="str">
        <f t="shared" si="3"/>
        <v/>
      </c>
      <c r="H207" s="645" t="s">
        <v>723</v>
      </c>
    </row>
    <row r="208" spans="1:8" s="645" customFormat="1" ht="31.2" x14ac:dyDescent="0.3">
      <c r="A208" s="666">
        <v>193</v>
      </c>
      <c r="B208" s="669" t="s">
        <v>467</v>
      </c>
      <c r="C208" s="671" t="s">
        <v>2605</v>
      </c>
      <c r="E208" s="642" t="str">
        <f t="shared" si="3"/>
        <v/>
      </c>
      <c r="H208" s="645" t="s">
        <v>723</v>
      </c>
    </row>
    <row r="209" spans="1:8" s="645" customFormat="1" x14ac:dyDescent="0.3">
      <c r="A209" s="666">
        <v>194</v>
      </c>
      <c r="B209" s="669" t="s">
        <v>469</v>
      </c>
      <c r="C209" s="670" t="s">
        <v>470</v>
      </c>
      <c r="E209" s="642" t="str">
        <f t="shared" si="3"/>
        <v/>
      </c>
      <c r="H209" s="645" t="s">
        <v>723</v>
      </c>
    </row>
    <row r="210" spans="1:8" s="645" customFormat="1" x14ac:dyDescent="0.3">
      <c r="A210" s="666">
        <v>195</v>
      </c>
      <c r="B210" s="669" t="s">
        <v>471</v>
      </c>
      <c r="C210" s="670" t="s">
        <v>472</v>
      </c>
      <c r="E210" s="642" t="str">
        <f t="shared" si="3"/>
        <v/>
      </c>
      <c r="H210" s="645" t="s">
        <v>723</v>
      </c>
    </row>
    <row r="211" spans="1:8" s="645" customFormat="1" x14ac:dyDescent="0.3">
      <c r="A211" s="666">
        <v>196</v>
      </c>
      <c r="B211" s="669" t="s">
        <v>473</v>
      </c>
      <c r="C211" s="670" t="s">
        <v>474</v>
      </c>
      <c r="E211" s="642" t="str">
        <f t="shared" si="3"/>
        <v/>
      </c>
      <c r="H211" s="645" t="s">
        <v>723</v>
      </c>
    </row>
    <row r="212" spans="1:8" s="645" customFormat="1" x14ac:dyDescent="0.3">
      <c r="A212" s="666">
        <v>197</v>
      </c>
      <c r="B212" s="669" t="s">
        <v>2606</v>
      </c>
      <c r="C212" s="670" t="s">
        <v>2265</v>
      </c>
      <c r="E212" s="642" t="str">
        <f t="shared" si="3"/>
        <v/>
      </c>
      <c r="H212" s="645" t="s">
        <v>723</v>
      </c>
    </row>
    <row r="213" spans="1:8" s="645" customFormat="1" x14ac:dyDescent="0.3">
      <c r="A213" s="666">
        <v>198</v>
      </c>
      <c r="B213" s="669" t="s">
        <v>2607</v>
      </c>
      <c r="C213" s="670" t="s">
        <v>2267</v>
      </c>
      <c r="E213" s="642" t="str">
        <f t="shared" si="3"/>
        <v/>
      </c>
      <c r="H213" s="645" t="s">
        <v>723</v>
      </c>
    </row>
    <row r="214" spans="1:8" s="645" customFormat="1" x14ac:dyDescent="0.3">
      <c r="A214" s="649">
        <v>199</v>
      </c>
      <c r="B214" s="667" t="s">
        <v>2608</v>
      </c>
      <c r="C214" s="668" t="s">
        <v>2268</v>
      </c>
      <c r="E214" s="642" t="str">
        <f t="shared" si="3"/>
        <v/>
      </c>
      <c r="H214" s="645" t="s">
        <v>723</v>
      </c>
    </row>
    <row r="215" spans="1:8" s="645" customFormat="1" x14ac:dyDescent="0.3">
      <c r="A215" s="666">
        <v>200</v>
      </c>
      <c r="B215" s="669" t="s">
        <v>475</v>
      </c>
      <c r="C215" s="670" t="s">
        <v>476</v>
      </c>
      <c r="E215" s="642" t="str">
        <f t="shared" si="3"/>
        <v/>
      </c>
      <c r="H215" s="645" t="s">
        <v>723</v>
      </c>
    </row>
    <row r="216" spans="1:8" s="645" customFormat="1" x14ac:dyDescent="0.3">
      <c r="A216" s="666">
        <v>201</v>
      </c>
      <c r="B216" s="669" t="s">
        <v>2609</v>
      </c>
      <c r="C216" s="670" t="s">
        <v>2269</v>
      </c>
      <c r="E216" s="642" t="str">
        <f t="shared" si="3"/>
        <v/>
      </c>
      <c r="H216" s="645" t="s">
        <v>723</v>
      </c>
    </row>
    <row r="217" spans="1:8" s="645" customFormat="1" x14ac:dyDescent="0.3">
      <c r="A217" s="666">
        <v>202</v>
      </c>
      <c r="B217" s="669" t="s">
        <v>477</v>
      </c>
      <c r="C217" s="670" t="s">
        <v>478</v>
      </c>
      <c r="E217" s="642" t="str">
        <f t="shared" si="3"/>
        <v/>
      </c>
      <c r="H217" s="645" t="s">
        <v>723</v>
      </c>
    </row>
    <row r="218" spans="1:8" s="645" customFormat="1" x14ac:dyDescent="0.3">
      <c r="A218" s="666">
        <v>203</v>
      </c>
      <c r="B218" s="669" t="s">
        <v>2610</v>
      </c>
      <c r="C218" s="670" t="s">
        <v>2270</v>
      </c>
      <c r="E218" s="642" t="str">
        <f t="shared" si="3"/>
        <v/>
      </c>
      <c r="H218" s="645" t="s">
        <v>723</v>
      </c>
    </row>
    <row r="219" spans="1:8" s="645" customFormat="1" x14ac:dyDescent="0.3">
      <c r="A219" s="649">
        <v>204</v>
      </c>
      <c r="B219" s="667" t="s">
        <v>479</v>
      </c>
      <c r="C219" s="668" t="s">
        <v>480</v>
      </c>
      <c r="E219" s="642" t="str">
        <f t="shared" si="3"/>
        <v/>
      </c>
      <c r="H219" s="645" t="s">
        <v>723</v>
      </c>
    </row>
    <row r="220" spans="1:8" s="645" customFormat="1" x14ac:dyDescent="0.3">
      <c r="A220" s="666">
        <v>205</v>
      </c>
      <c r="B220" s="669" t="s">
        <v>481</v>
      </c>
      <c r="C220" s="670" t="s">
        <v>482</v>
      </c>
      <c r="E220" s="642" t="str">
        <f t="shared" si="3"/>
        <v/>
      </c>
      <c r="H220" s="645" t="s">
        <v>723</v>
      </c>
    </row>
    <row r="221" spans="1:8" s="645" customFormat="1" x14ac:dyDescent="0.3">
      <c r="A221" s="666">
        <v>206</v>
      </c>
      <c r="B221" s="669" t="s">
        <v>2611</v>
      </c>
      <c r="C221" s="670" t="s">
        <v>2271</v>
      </c>
      <c r="E221" s="642" t="str">
        <f t="shared" si="3"/>
        <v/>
      </c>
      <c r="H221" s="645" t="s">
        <v>723</v>
      </c>
    </row>
    <row r="222" spans="1:8" s="645" customFormat="1" x14ac:dyDescent="0.3">
      <c r="A222" s="666">
        <v>207</v>
      </c>
      <c r="B222" s="669" t="s">
        <v>2612</v>
      </c>
      <c r="C222" s="670" t="s">
        <v>2272</v>
      </c>
      <c r="E222" s="642" t="str">
        <f t="shared" si="3"/>
        <v/>
      </c>
      <c r="H222" s="645" t="s">
        <v>723</v>
      </c>
    </row>
    <row r="223" spans="1:8" s="645" customFormat="1" x14ac:dyDescent="0.3">
      <c r="A223" s="666">
        <v>208</v>
      </c>
      <c r="B223" s="669" t="s">
        <v>2613</v>
      </c>
      <c r="C223" s="670" t="s">
        <v>2274</v>
      </c>
      <c r="E223" s="642" t="str">
        <f t="shared" si="3"/>
        <v/>
      </c>
      <c r="H223" s="645" t="s">
        <v>723</v>
      </c>
    </row>
    <row r="224" spans="1:8" s="645" customFormat="1" x14ac:dyDescent="0.3">
      <c r="A224" s="666">
        <v>209</v>
      </c>
      <c r="B224" s="669" t="s">
        <v>2614</v>
      </c>
      <c r="C224" s="670" t="s">
        <v>2276</v>
      </c>
      <c r="E224" s="642" t="str">
        <f t="shared" si="3"/>
        <v/>
      </c>
      <c r="H224" s="645" t="s">
        <v>723</v>
      </c>
    </row>
    <row r="225" spans="1:8" s="645" customFormat="1" x14ac:dyDescent="0.3">
      <c r="A225" s="666">
        <v>210</v>
      </c>
      <c r="B225" s="669" t="s">
        <v>2615</v>
      </c>
      <c r="C225" s="670" t="s">
        <v>2277</v>
      </c>
      <c r="E225" s="642" t="str">
        <f t="shared" si="3"/>
        <v/>
      </c>
      <c r="H225" s="645" t="s">
        <v>723</v>
      </c>
    </row>
    <row r="226" spans="1:8" s="645" customFormat="1" x14ac:dyDescent="0.3">
      <c r="A226" s="648"/>
      <c r="B226" s="646"/>
      <c r="C226" s="647"/>
      <c r="E226" s="642" t="str">
        <f t="shared" si="3"/>
        <v/>
      </c>
      <c r="H226" s="645" t="s">
        <v>723</v>
      </c>
    </row>
    <row r="227" spans="1:8" s="645" customFormat="1" x14ac:dyDescent="0.3">
      <c r="A227" s="673" t="s">
        <v>2616</v>
      </c>
      <c r="C227" s="647"/>
      <c r="E227" s="642" t="str">
        <f t="shared" si="3"/>
        <v>Logicals</v>
      </c>
      <c r="F227" s="645">
        <f>COUNT(A228:A236)</f>
        <v>9</v>
      </c>
      <c r="H227" s="645" t="s">
        <v>723</v>
      </c>
    </row>
    <row r="228" spans="1:8" s="645" customFormat="1" x14ac:dyDescent="0.3">
      <c r="A228" s="666">
        <f>A225+1</f>
        <v>211</v>
      </c>
      <c r="B228" s="689" t="s">
        <v>484</v>
      </c>
      <c r="C228" s="670" t="s">
        <v>485</v>
      </c>
      <c r="E228" s="642" t="str">
        <f t="shared" si="3"/>
        <v/>
      </c>
      <c r="H228" s="645" t="s">
        <v>723</v>
      </c>
    </row>
    <row r="229" spans="1:8" s="645" customFormat="1" x14ac:dyDescent="0.3">
      <c r="A229" s="666">
        <f t="shared" ref="A229:A236" si="4">A228+1</f>
        <v>212</v>
      </c>
      <c r="B229" s="689" t="b">
        <v>0</v>
      </c>
      <c r="C229" s="670" t="s">
        <v>486</v>
      </c>
      <c r="E229" s="642" t="str">
        <f t="shared" si="3"/>
        <v/>
      </c>
      <c r="H229" s="645" t="s">
        <v>723</v>
      </c>
    </row>
    <row r="230" spans="1:8" s="645" customFormat="1" x14ac:dyDescent="0.3">
      <c r="A230" s="666">
        <f t="shared" si="4"/>
        <v>213</v>
      </c>
      <c r="B230" s="689" t="s">
        <v>11</v>
      </c>
      <c r="C230" s="670" t="s">
        <v>487</v>
      </c>
      <c r="E230" s="642" t="str">
        <f t="shared" si="3"/>
        <v/>
      </c>
      <c r="H230" s="645" t="s">
        <v>723</v>
      </c>
    </row>
    <row r="231" spans="1:8" s="645" customFormat="1" ht="31.2" x14ac:dyDescent="0.3">
      <c r="A231" s="666">
        <f t="shared" si="4"/>
        <v>214</v>
      </c>
      <c r="B231" s="689" t="s">
        <v>375</v>
      </c>
      <c r="C231" s="670" t="s">
        <v>2278</v>
      </c>
      <c r="E231" s="642" t="str">
        <f t="shared" si="3"/>
        <v/>
      </c>
      <c r="H231" s="645" t="s">
        <v>723</v>
      </c>
    </row>
    <row r="232" spans="1:8" s="645" customFormat="1" ht="31.2" x14ac:dyDescent="0.3">
      <c r="A232" s="666">
        <f t="shared" si="4"/>
        <v>215</v>
      </c>
      <c r="B232" s="689" t="s">
        <v>2617</v>
      </c>
      <c r="C232" s="670" t="s">
        <v>2280</v>
      </c>
      <c r="E232" s="642" t="str">
        <f t="shared" si="3"/>
        <v/>
      </c>
      <c r="H232" s="645" t="s">
        <v>723</v>
      </c>
    </row>
    <row r="233" spans="1:8" s="645" customFormat="1" x14ac:dyDescent="0.3">
      <c r="A233" s="666">
        <f t="shared" si="4"/>
        <v>216</v>
      </c>
      <c r="B233" s="689" t="s">
        <v>488</v>
      </c>
      <c r="C233" s="670" t="s">
        <v>489</v>
      </c>
      <c r="E233" s="642" t="str">
        <f t="shared" si="3"/>
        <v/>
      </c>
      <c r="H233" s="645" t="s">
        <v>723</v>
      </c>
    </row>
    <row r="234" spans="1:8" s="645" customFormat="1" x14ac:dyDescent="0.3">
      <c r="A234" s="666">
        <f t="shared" si="4"/>
        <v>217</v>
      </c>
      <c r="B234" s="689" t="s">
        <v>490</v>
      </c>
      <c r="C234" s="670" t="s">
        <v>491</v>
      </c>
      <c r="E234" s="642" t="str">
        <f t="shared" si="3"/>
        <v/>
      </c>
      <c r="H234" s="645" t="s">
        <v>723</v>
      </c>
    </row>
    <row r="235" spans="1:8" s="645" customFormat="1" x14ac:dyDescent="0.3">
      <c r="A235" s="666">
        <f t="shared" si="4"/>
        <v>218</v>
      </c>
      <c r="B235" s="689" t="b">
        <v>1</v>
      </c>
      <c r="C235" s="670" t="s">
        <v>492</v>
      </c>
      <c r="E235" s="642" t="str">
        <f t="shared" si="3"/>
        <v/>
      </c>
      <c r="H235" s="645" t="s">
        <v>723</v>
      </c>
    </row>
    <row r="236" spans="1:8" s="645" customFormat="1" x14ac:dyDescent="0.3">
      <c r="A236" s="666">
        <f t="shared" si="4"/>
        <v>219</v>
      </c>
      <c r="B236" s="689" t="s">
        <v>2618</v>
      </c>
      <c r="C236" s="670" t="s">
        <v>2282</v>
      </c>
      <c r="E236" s="642" t="str">
        <f t="shared" si="3"/>
        <v/>
      </c>
      <c r="H236" s="645" t="s">
        <v>723</v>
      </c>
    </row>
    <row r="237" spans="1:8" s="645" customFormat="1" x14ac:dyDescent="0.3">
      <c r="A237" s="648"/>
      <c r="B237" s="646"/>
      <c r="C237" s="647"/>
      <c r="E237" s="642" t="str">
        <f t="shared" si="3"/>
        <v/>
      </c>
      <c r="H237" s="645" t="s">
        <v>723</v>
      </c>
    </row>
    <row r="238" spans="1:8" s="645" customFormat="1" x14ac:dyDescent="0.3">
      <c r="A238" s="673" t="s">
        <v>2619</v>
      </c>
      <c r="C238" s="647"/>
      <c r="E238" s="642" t="str">
        <f t="shared" si="3"/>
        <v>Lookup and references</v>
      </c>
      <c r="F238" s="645">
        <f>COUNT(A239:A257)</f>
        <v>19</v>
      </c>
      <c r="H238" s="645" t="s">
        <v>723</v>
      </c>
    </row>
    <row r="239" spans="1:8" s="645" customFormat="1" x14ac:dyDescent="0.3">
      <c r="A239" s="666">
        <f>A236+1</f>
        <v>220</v>
      </c>
      <c r="B239" s="669" t="s">
        <v>2620</v>
      </c>
      <c r="C239" s="670" t="s">
        <v>2283</v>
      </c>
      <c r="E239" s="642" t="str">
        <f t="shared" si="3"/>
        <v/>
      </c>
      <c r="H239" s="645" t="s">
        <v>723</v>
      </c>
    </row>
    <row r="240" spans="1:8" s="645" customFormat="1" x14ac:dyDescent="0.3">
      <c r="A240" s="649">
        <f t="shared" ref="A240:A257" si="5">A239+1</f>
        <v>221</v>
      </c>
      <c r="B240" s="667" t="s">
        <v>2621</v>
      </c>
      <c r="C240" s="668" t="s">
        <v>2284</v>
      </c>
      <c r="E240" s="642" t="str">
        <f t="shared" si="3"/>
        <v/>
      </c>
      <c r="H240" s="645" t="s">
        <v>723</v>
      </c>
    </row>
    <row r="241" spans="1:8" s="645" customFormat="1" x14ac:dyDescent="0.3">
      <c r="A241" s="666">
        <f t="shared" si="5"/>
        <v>222</v>
      </c>
      <c r="B241" s="669" t="s">
        <v>494</v>
      </c>
      <c r="C241" s="670" t="s">
        <v>495</v>
      </c>
      <c r="E241" s="642" t="str">
        <f t="shared" si="3"/>
        <v/>
      </c>
      <c r="H241" s="645" t="s">
        <v>723</v>
      </c>
    </row>
    <row r="242" spans="1:8" s="645" customFormat="1" x14ac:dyDescent="0.3">
      <c r="A242" s="666">
        <f t="shared" si="5"/>
        <v>223</v>
      </c>
      <c r="B242" s="669" t="s">
        <v>2622</v>
      </c>
      <c r="C242" s="670" t="s">
        <v>2285</v>
      </c>
      <c r="E242" s="642" t="str">
        <f t="shared" si="3"/>
        <v/>
      </c>
      <c r="H242" s="645" t="s">
        <v>723</v>
      </c>
    </row>
    <row r="243" spans="1:8" s="645" customFormat="1" x14ac:dyDescent="0.3">
      <c r="A243" s="666">
        <f t="shared" si="5"/>
        <v>224</v>
      </c>
      <c r="B243" s="669" t="s">
        <v>2623</v>
      </c>
      <c r="C243" s="670" t="s">
        <v>2286</v>
      </c>
      <c r="E243" s="642" t="str">
        <f t="shared" si="3"/>
        <v/>
      </c>
      <c r="H243" s="645" t="s">
        <v>723</v>
      </c>
    </row>
    <row r="244" spans="1:8" s="645" customFormat="1" x14ac:dyDescent="0.3">
      <c r="A244" s="666">
        <f t="shared" si="5"/>
        <v>225</v>
      </c>
      <c r="B244" s="669" t="s">
        <v>2624</v>
      </c>
      <c r="C244" s="670" t="s">
        <v>2288</v>
      </c>
      <c r="E244" s="642" t="str">
        <f t="shared" si="3"/>
        <v/>
      </c>
      <c r="H244" s="645" t="s">
        <v>723</v>
      </c>
    </row>
    <row r="245" spans="1:8" s="645" customFormat="1" x14ac:dyDescent="0.3">
      <c r="A245" s="666">
        <f t="shared" si="5"/>
        <v>226</v>
      </c>
      <c r="B245" s="669" t="s">
        <v>496</v>
      </c>
      <c r="C245" s="670" t="s">
        <v>2289</v>
      </c>
      <c r="E245" s="642" t="str">
        <f t="shared" si="3"/>
        <v/>
      </c>
      <c r="H245" s="645" t="s">
        <v>723</v>
      </c>
    </row>
    <row r="246" spans="1:8" s="645" customFormat="1" x14ac:dyDescent="0.3">
      <c r="A246" s="666">
        <f t="shared" si="5"/>
        <v>227</v>
      </c>
      <c r="B246" s="669" t="s">
        <v>98</v>
      </c>
      <c r="C246" s="670" t="s">
        <v>498</v>
      </c>
      <c r="E246" s="642" t="str">
        <f t="shared" si="3"/>
        <v/>
      </c>
      <c r="H246" s="645" t="s">
        <v>723</v>
      </c>
    </row>
    <row r="247" spans="1:8" s="645" customFormat="1" ht="31.2" x14ac:dyDescent="0.3">
      <c r="A247" s="666">
        <f t="shared" si="5"/>
        <v>228</v>
      </c>
      <c r="B247" s="669" t="s">
        <v>499</v>
      </c>
      <c r="C247" s="670" t="s">
        <v>500</v>
      </c>
      <c r="E247" s="642" t="str">
        <f t="shared" si="3"/>
        <v/>
      </c>
      <c r="H247" s="645" t="s">
        <v>723</v>
      </c>
    </row>
    <row r="248" spans="1:8" s="645" customFormat="1" x14ac:dyDescent="0.3">
      <c r="A248" s="666">
        <f t="shared" si="5"/>
        <v>229</v>
      </c>
      <c r="B248" s="669" t="s">
        <v>501</v>
      </c>
      <c r="C248" s="670" t="s">
        <v>502</v>
      </c>
      <c r="E248" s="642" t="str">
        <f t="shared" si="3"/>
        <v/>
      </c>
      <c r="H248" s="645" t="s">
        <v>723</v>
      </c>
    </row>
    <row r="249" spans="1:8" s="645" customFormat="1" x14ac:dyDescent="0.3">
      <c r="A249" s="666">
        <f t="shared" si="5"/>
        <v>230</v>
      </c>
      <c r="B249" s="669" t="s">
        <v>2625</v>
      </c>
      <c r="C249" s="670" t="s">
        <v>2290</v>
      </c>
      <c r="E249" s="642" t="str">
        <f t="shared" si="3"/>
        <v/>
      </c>
      <c r="H249" s="645" t="s">
        <v>723</v>
      </c>
    </row>
    <row r="250" spans="1:8" s="645" customFormat="1" x14ac:dyDescent="0.3">
      <c r="A250" s="666">
        <f t="shared" si="5"/>
        <v>231</v>
      </c>
      <c r="B250" s="669" t="s">
        <v>503</v>
      </c>
      <c r="C250" s="670" t="s">
        <v>504</v>
      </c>
      <c r="E250" s="642" t="str">
        <f t="shared" si="3"/>
        <v/>
      </c>
      <c r="H250" s="645" t="s">
        <v>723</v>
      </c>
    </row>
    <row r="251" spans="1:8" s="645" customFormat="1" x14ac:dyDescent="0.3">
      <c r="A251" s="666">
        <f t="shared" si="5"/>
        <v>232</v>
      </c>
      <c r="B251" s="669" t="s">
        <v>2626</v>
      </c>
      <c r="C251" s="670" t="s">
        <v>2291</v>
      </c>
      <c r="E251" s="642" t="str">
        <f t="shared" si="3"/>
        <v/>
      </c>
      <c r="H251" s="645" t="s">
        <v>723</v>
      </c>
    </row>
    <row r="252" spans="1:8" s="645" customFormat="1" x14ac:dyDescent="0.3">
      <c r="A252" s="666">
        <f t="shared" si="5"/>
        <v>233</v>
      </c>
      <c r="B252" s="669" t="s">
        <v>2627</v>
      </c>
      <c r="C252" s="670" t="s">
        <v>2292</v>
      </c>
      <c r="E252" s="642" t="str">
        <f t="shared" si="3"/>
        <v/>
      </c>
      <c r="H252" s="645" t="s">
        <v>723</v>
      </c>
    </row>
    <row r="253" spans="1:8" s="645" customFormat="1" x14ac:dyDescent="0.3">
      <c r="A253" s="666">
        <f t="shared" si="5"/>
        <v>234</v>
      </c>
      <c r="B253" s="669" t="s">
        <v>2628</v>
      </c>
      <c r="C253" s="670" t="s">
        <v>2293</v>
      </c>
      <c r="E253" s="642" t="str">
        <f t="shared" si="3"/>
        <v/>
      </c>
      <c r="H253" s="645" t="s">
        <v>723</v>
      </c>
    </row>
    <row r="254" spans="1:8" s="645" customFormat="1" x14ac:dyDescent="0.3">
      <c r="A254" s="666">
        <f t="shared" si="5"/>
        <v>235</v>
      </c>
      <c r="B254" s="669" t="s">
        <v>2629</v>
      </c>
      <c r="C254" s="670" t="s">
        <v>2294</v>
      </c>
      <c r="E254" s="642" t="str">
        <f t="shared" si="3"/>
        <v/>
      </c>
      <c r="H254" s="645" t="s">
        <v>723</v>
      </c>
    </row>
    <row r="255" spans="1:8" s="645" customFormat="1" ht="46.8" x14ac:dyDescent="0.3">
      <c r="A255" s="649">
        <f t="shared" si="5"/>
        <v>236</v>
      </c>
      <c r="B255" s="667" t="s">
        <v>2630</v>
      </c>
      <c r="C255" s="668" t="s">
        <v>2295</v>
      </c>
      <c r="E255" s="642" t="str">
        <f t="shared" si="3"/>
        <v/>
      </c>
      <c r="H255" s="645" t="s">
        <v>723</v>
      </c>
    </row>
    <row r="256" spans="1:8" s="645" customFormat="1" x14ac:dyDescent="0.3">
      <c r="A256" s="666">
        <f t="shared" si="5"/>
        <v>237</v>
      </c>
      <c r="B256" s="669" t="s">
        <v>505</v>
      </c>
      <c r="C256" s="670" t="s">
        <v>506</v>
      </c>
      <c r="E256" s="642" t="str">
        <f t="shared" si="3"/>
        <v/>
      </c>
      <c r="H256" s="645" t="s">
        <v>723</v>
      </c>
    </row>
    <row r="257" spans="1:8" s="645" customFormat="1" x14ac:dyDescent="0.3">
      <c r="A257" s="666">
        <f t="shared" si="5"/>
        <v>238</v>
      </c>
      <c r="B257" s="669" t="s">
        <v>99</v>
      </c>
      <c r="C257" s="670" t="s">
        <v>507</v>
      </c>
      <c r="E257" s="642" t="str">
        <f t="shared" si="3"/>
        <v/>
      </c>
      <c r="H257" s="645" t="s">
        <v>723</v>
      </c>
    </row>
    <row r="258" spans="1:8" s="645" customFormat="1" x14ac:dyDescent="0.3">
      <c r="A258" s="648"/>
      <c r="B258" s="674"/>
      <c r="C258" s="647"/>
      <c r="E258" s="642" t="str">
        <f t="shared" si="3"/>
        <v/>
      </c>
      <c r="H258" s="645" t="s">
        <v>723</v>
      </c>
    </row>
    <row r="259" spans="1:8" s="645" customFormat="1" x14ac:dyDescent="0.3">
      <c r="A259" s="673" t="s">
        <v>2631</v>
      </c>
      <c r="C259" s="647"/>
      <c r="E259" s="642" t="str">
        <f t="shared" ref="E259:E322" si="6">IF(F259&gt;0,A259:A259,"")</f>
        <v>Math and trigonometrys</v>
      </c>
      <c r="F259" s="645">
        <f>COUNT(A260:A338)</f>
        <v>79</v>
      </c>
      <c r="H259" s="645" t="s">
        <v>723</v>
      </c>
    </row>
    <row r="260" spans="1:8" s="645" customFormat="1" x14ac:dyDescent="0.3">
      <c r="A260" s="666">
        <f>A257+1</f>
        <v>239</v>
      </c>
      <c r="B260" s="669" t="s">
        <v>2632</v>
      </c>
      <c r="C260" s="670" t="s">
        <v>2296</v>
      </c>
      <c r="E260" s="642" t="str">
        <f t="shared" si="6"/>
        <v/>
      </c>
      <c r="H260" s="645" t="s">
        <v>723</v>
      </c>
    </row>
    <row r="261" spans="1:8" s="645" customFormat="1" x14ac:dyDescent="0.3">
      <c r="A261" s="649">
        <f t="shared" ref="A261:A292" si="7">A260+1</f>
        <v>240</v>
      </c>
      <c r="B261" s="667" t="s">
        <v>2633</v>
      </c>
      <c r="C261" s="668" t="s">
        <v>2297</v>
      </c>
      <c r="E261" s="642" t="str">
        <f t="shared" si="6"/>
        <v/>
      </c>
      <c r="H261" s="645" t="s">
        <v>723</v>
      </c>
    </row>
    <row r="262" spans="1:8" s="645" customFormat="1" x14ac:dyDescent="0.3">
      <c r="A262" s="649">
        <f t="shared" si="7"/>
        <v>241</v>
      </c>
      <c r="B262" s="667" t="s">
        <v>2634</v>
      </c>
      <c r="C262" s="668" t="s">
        <v>2298</v>
      </c>
      <c r="E262" s="642" t="str">
        <f t="shared" si="6"/>
        <v/>
      </c>
      <c r="H262" s="645" t="s">
        <v>723</v>
      </c>
    </row>
    <row r="263" spans="1:8" s="645" customFormat="1" x14ac:dyDescent="0.3">
      <c r="A263" s="649">
        <f t="shared" si="7"/>
        <v>242</v>
      </c>
      <c r="B263" s="667" t="s">
        <v>2635</v>
      </c>
      <c r="C263" s="668" t="s">
        <v>2300</v>
      </c>
      <c r="E263" s="642" t="str">
        <f t="shared" si="6"/>
        <v/>
      </c>
      <c r="H263" s="645" t="s">
        <v>723</v>
      </c>
    </row>
    <row r="264" spans="1:8" s="645" customFormat="1" x14ac:dyDescent="0.3">
      <c r="A264" s="649">
        <f t="shared" si="7"/>
        <v>243</v>
      </c>
      <c r="B264" s="667" t="s">
        <v>2636</v>
      </c>
      <c r="C264" s="668" t="s">
        <v>2302</v>
      </c>
      <c r="E264" s="642" t="str">
        <f t="shared" si="6"/>
        <v/>
      </c>
      <c r="H264" s="645" t="s">
        <v>723</v>
      </c>
    </row>
    <row r="265" spans="1:8" s="645" customFormat="1" x14ac:dyDescent="0.3">
      <c r="A265" s="666">
        <f t="shared" si="7"/>
        <v>244</v>
      </c>
      <c r="B265" s="669" t="s">
        <v>2637</v>
      </c>
      <c r="C265" s="670" t="s">
        <v>2303</v>
      </c>
      <c r="E265" s="642" t="str">
        <f t="shared" si="6"/>
        <v/>
      </c>
      <c r="H265" s="645" t="s">
        <v>723</v>
      </c>
    </row>
    <row r="266" spans="1:8" s="645" customFormat="1" x14ac:dyDescent="0.3">
      <c r="A266" s="649">
        <f t="shared" si="7"/>
        <v>245</v>
      </c>
      <c r="B266" s="667" t="s">
        <v>2638</v>
      </c>
      <c r="C266" s="668" t="s">
        <v>2305</v>
      </c>
      <c r="E266" s="642" t="str">
        <f t="shared" si="6"/>
        <v/>
      </c>
      <c r="H266" s="645" t="s">
        <v>723</v>
      </c>
    </row>
    <row r="267" spans="1:8" s="645" customFormat="1" x14ac:dyDescent="0.3">
      <c r="A267" s="649">
        <f t="shared" si="7"/>
        <v>246</v>
      </c>
      <c r="B267" s="667" t="s">
        <v>2639</v>
      </c>
      <c r="C267" s="668" t="s">
        <v>2306</v>
      </c>
      <c r="E267" s="642" t="str">
        <f t="shared" si="6"/>
        <v/>
      </c>
      <c r="H267" s="645" t="s">
        <v>723</v>
      </c>
    </row>
    <row r="268" spans="1:8" s="645" customFormat="1" x14ac:dyDescent="0.3">
      <c r="A268" s="649">
        <f t="shared" si="7"/>
        <v>247</v>
      </c>
      <c r="B268" s="667" t="s">
        <v>2640</v>
      </c>
      <c r="C268" s="668" t="s">
        <v>2307</v>
      </c>
      <c r="E268" s="642" t="str">
        <f t="shared" si="6"/>
        <v/>
      </c>
      <c r="H268" s="645" t="s">
        <v>723</v>
      </c>
    </row>
    <row r="269" spans="1:8" s="645" customFormat="1" x14ac:dyDescent="0.3">
      <c r="A269" s="649">
        <f t="shared" si="7"/>
        <v>248</v>
      </c>
      <c r="B269" s="667" t="s">
        <v>2641</v>
      </c>
      <c r="C269" s="668" t="s">
        <v>2308</v>
      </c>
      <c r="E269" s="642" t="str">
        <f t="shared" si="6"/>
        <v/>
      </c>
      <c r="H269" s="645" t="s">
        <v>723</v>
      </c>
    </row>
    <row r="270" spans="1:8" s="645" customFormat="1" x14ac:dyDescent="0.3">
      <c r="A270" s="649">
        <f t="shared" si="7"/>
        <v>249</v>
      </c>
      <c r="B270" s="667" t="s">
        <v>2642</v>
      </c>
      <c r="C270" s="668" t="s">
        <v>2309</v>
      </c>
      <c r="E270" s="642" t="str">
        <f t="shared" si="6"/>
        <v/>
      </c>
      <c r="H270" s="645" t="s">
        <v>723</v>
      </c>
    </row>
    <row r="271" spans="1:8" s="645" customFormat="1" x14ac:dyDescent="0.3">
      <c r="A271" s="649">
        <f t="shared" si="7"/>
        <v>250</v>
      </c>
      <c r="B271" s="667" t="s">
        <v>2643</v>
      </c>
      <c r="C271" s="668" t="s">
        <v>2310</v>
      </c>
      <c r="E271" s="642" t="str">
        <f t="shared" si="6"/>
        <v/>
      </c>
      <c r="H271" s="645" t="s">
        <v>723</v>
      </c>
    </row>
    <row r="272" spans="1:8" s="645" customFormat="1" x14ac:dyDescent="0.3">
      <c r="A272" s="649">
        <f t="shared" si="7"/>
        <v>251</v>
      </c>
      <c r="B272" s="667" t="s">
        <v>2644</v>
      </c>
      <c r="C272" s="668" t="s">
        <v>2312</v>
      </c>
      <c r="E272" s="642" t="str">
        <f t="shared" si="6"/>
        <v/>
      </c>
      <c r="H272" s="645" t="s">
        <v>723</v>
      </c>
    </row>
    <row r="273" spans="1:8" s="645" customFormat="1" x14ac:dyDescent="0.3">
      <c r="A273" s="666">
        <f t="shared" si="7"/>
        <v>252</v>
      </c>
      <c r="B273" s="669" t="s">
        <v>2645</v>
      </c>
      <c r="C273" s="670" t="s">
        <v>2313</v>
      </c>
      <c r="E273" s="642" t="str">
        <f t="shared" si="6"/>
        <v/>
      </c>
      <c r="H273" s="645" t="s">
        <v>723</v>
      </c>
    </row>
    <row r="274" spans="1:8" s="645" customFormat="1" x14ac:dyDescent="0.3">
      <c r="A274" s="666">
        <f t="shared" si="7"/>
        <v>253</v>
      </c>
      <c r="B274" s="669" t="s">
        <v>2646</v>
      </c>
      <c r="C274" s="670" t="s">
        <v>2315</v>
      </c>
      <c r="E274" s="642" t="str">
        <f t="shared" si="6"/>
        <v/>
      </c>
      <c r="H274" s="645" t="s">
        <v>723</v>
      </c>
    </row>
    <row r="275" spans="1:8" s="645" customFormat="1" ht="31.2" x14ac:dyDescent="0.3">
      <c r="A275" s="649">
        <f t="shared" si="7"/>
        <v>254</v>
      </c>
      <c r="B275" s="667" t="s">
        <v>2647</v>
      </c>
      <c r="C275" s="668" t="s">
        <v>2316</v>
      </c>
      <c r="E275" s="642" t="str">
        <f t="shared" si="6"/>
        <v/>
      </c>
      <c r="H275" s="645" t="s">
        <v>723</v>
      </c>
    </row>
    <row r="276" spans="1:8" s="645" customFormat="1" x14ac:dyDescent="0.3">
      <c r="A276" s="649">
        <f t="shared" si="7"/>
        <v>255</v>
      </c>
      <c r="B276" s="667" t="s">
        <v>2648</v>
      </c>
      <c r="C276" s="668" t="s">
        <v>2317</v>
      </c>
      <c r="E276" s="642" t="str">
        <f t="shared" si="6"/>
        <v/>
      </c>
      <c r="H276" s="645" t="s">
        <v>723</v>
      </c>
    </row>
    <row r="277" spans="1:8" s="645" customFormat="1" x14ac:dyDescent="0.3">
      <c r="A277" s="649">
        <f t="shared" si="7"/>
        <v>256</v>
      </c>
      <c r="B277" s="667" t="s">
        <v>2649</v>
      </c>
      <c r="C277" s="668" t="s">
        <v>2319</v>
      </c>
      <c r="E277" s="642" t="str">
        <f t="shared" si="6"/>
        <v/>
      </c>
      <c r="H277" s="645" t="s">
        <v>723</v>
      </c>
    </row>
    <row r="278" spans="1:8" s="645" customFormat="1" x14ac:dyDescent="0.3">
      <c r="A278" s="649">
        <f t="shared" si="7"/>
        <v>257</v>
      </c>
      <c r="B278" s="667" t="s">
        <v>2650</v>
      </c>
      <c r="C278" s="668" t="s">
        <v>2320</v>
      </c>
      <c r="E278" s="642" t="str">
        <f t="shared" si="6"/>
        <v/>
      </c>
      <c r="H278" s="645" t="s">
        <v>723</v>
      </c>
    </row>
    <row r="279" spans="1:8" s="645" customFormat="1" x14ac:dyDescent="0.3">
      <c r="A279" s="649">
        <f t="shared" si="7"/>
        <v>258</v>
      </c>
      <c r="B279" s="667" t="s">
        <v>2651</v>
      </c>
      <c r="C279" s="668" t="s">
        <v>2321</v>
      </c>
      <c r="E279" s="642" t="str">
        <f t="shared" si="6"/>
        <v/>
      </c>
      <c r="H279" s="645" t="s">
        <v>723</v>
      </c>
    </row>
    <row r="280" spans="1:8" s="645" customFormat="1" x14ac:dyDescent="0.3">
      <c r="A280" s="649">
        <f t="shared" si="7"/>
        <v>259</v>
      </c>
      <c r="B280" s="667" t="s">
        <v>2652</v>
      </c>
      <c r="C280" s="668" t="s">
        <v>2323</v>
      </c>
      <c r="E280" s="642" t="str">
        <f t="shared" si="6"/>
        <v/>
      </c>
      <c r="H280" s="645" t="s">
        <v>723</v>
      </c>
    </row>
    <row r="281" spans="1:8" s="645" customFormat="1" x14ac:dyDescent="0.3">
      <c r="A281" s="649">
        <f t="shared" si="7"/>
        <v>260</v>
      </c>
      <c r="B281" s="667" t="s">
        <v>2653</v>
      </c>
      <c r="C281" s="668" t="s">
        <v>2325</v>
      </c>
      <c r="E281" s="642" t="str">
        <f t="shared" si="6"/>
        <v/>
      </c>
      <c r="H281" s="645" t="s">
        <v>723</v>
      </c>
    </row>
    <row r="282" spans="1:8" s="645" customFormat="1" x14ac:dyDescent="0.3">
      <c r="A282" s="649">
        <f t="shared" si="7"/>
        <v>261</v>
      </c>
      <c r="B282" s="667" t="s">
        <v>2654</v>
      </c>
      <c r="C282" s="668" t="s">
        <v>2327</v>
      </c>
      <c r="E282" s="642" t="str">
        <f t="shared" si="6"/>
        <v/>
      </c>
      <c r="H282" s="645" t="s">
        <v>723</v>
      </c>
    </row>
    <row r="283" spans="1:8" s="645" customFormat="1" x14ac:dyDescent="0.3">
      <c r="A283" s="649">
        <f t="shared" si="7"/>
        <v>262</v>
      </c>
      <c r="B283" s="667" t="s">
        <v>2655</v>
      </c>
      <c r="C283" s="668" t="s">
        <v>2329</v>
      </c>
      <c r="E283" s="642" t="str">
        <f t="shared" si="6"/>
        <v/>
      </c>
      <c r="H283" s="645" t="s">
        <v>723</v>
      </c>
    </row>
    <row r="284" spans="1:8" s="645" customFormat="1" x14ac:dyDescent="0.3">
      <c r="A284" s="666">
        <f t="shared" si="7"/>
        <v>263</v>
      </c>
      <c r="B284" s="669" t="s">
        <v>2656</v>
      </c>
      <c r="C284" s="670" t="s">
        <v>2331</v>
      </c>
      <c r="E284" s="642" t="str">
        <f t="shared" si="6"/>
        <v/>
      </c>
      <c r="H284" s="645" t="s">
        <v>723</v>
      </c>
    </row>
    <row r="285" spans="1:8" s="645" customFormat="1" x14ac:dyDescent="0.3">
      <c r="A285" s="649">
        <f t="shared" si="7"/>
        <v>264</v>
      </c>
      <c r="B285" s="667" t="s">
        <v>2657</v>
      </c>
      <c r="C285" s="668" t="s">
        <v>2332</v>
      </c>
      <c r="E285" s="642" t="str">
        <f t="shared" si="6"/>
        <v/>
      </c>
      <c r="H285" s="645" t="s">
        <v>723</v>
      </c>
    </row>
    <row r="286" spans="1:8" s="645" customFormat="1" x14ac:dyDescent="0.3">
      <c r="A286" s="666">
        <f t="shared" si="7"/>
        <v>265</v>
      </c>
      <c r="B286" s="669" t="s">
        <v>2658</v>
      </c>
      <c r="C286" s="670" t="s">
        <v>2333</v>
      </c>
      <c r="E286" s="642" t="str">
        <f t="shared" si="6"/>
        <v/>
      </c>
      <c r="H286" s="645" t="s">
        <v>723</v>
      </c>
    </row>
    <row r="287" spans="1:8" s="645" customFormat="1" x14ac:dyDescent="0.3">
      <c r="A287" s="649">
        <f t="shared" si="7"/>
        <v>266</v>
      </c>
      <c r="B287" s="667" t="s">
        <v>2659</v>
      </c>
      <c r="C287" s="668" t="s">
        <v>3008</v>
      </c>
      <c r="E287" s="642" t="str">
        <f t="shared" si="6"/>
        <v/>
      </c>
      <c r="H287" s="645" t="s">
        <v>723</v>
      </c>
    </row>
    <row r="288" spans="1:8" s="645" customFormat="1" x14ac:dyDescent="0.3">
      <c r="A288" s="649">
        <f t="shared" si="7"/>
        <v>267</v>
      </c>
      <c r="B288" s="667" t="s">
        <v>2660</v>
      </c>
      <c r="C288" s="668" t="s">
        <v>2334</v>
      </c>
      <c r="E288" s="642" t="str">
        <f t="shared" si="6"/>
        <v/>
      </c>
      <c r="H288" s="645" t="s">
        <v>723</v>
      </c>
    </row>
    <row r="289" spans="1:8" s="645" customFormat="1" x14ac:dyDescent="0.3">
      <c r="A289" s="649">
        <f t="shared" si="7"/>
        <v>268</v>
      </c>
      <c r="B289" s="667" t="s">
        <v>2661</v>
      </c>
      <c r="C289" s="668" t="s">
        <v>2335</v>
      </c>
      <c r="E289" s="642" t="str">
        <f t="shared" si="6"/>
        <v/>
      </c>
      <c r="H289" s="645" t="s">
        <v>723</v>
      </c>
    </row>
    <row r="290" spans="1:8" s="645" customFormat="1" x14ac:dyDescent="0.3">
      <c r="A290" s="649">
        <f t="shared" si="7"/>
        <v>269</v>
      </c>
      <c r="B290" s="667" t="s">
        <v>2662</v>
      </c>
      <c r="C290" s="668" t="s">
        <v>516</v>
      </c>
      <c r="E290" s="642" t="str">
        <f t="shared" si="6"/>
        <v/>
      </c>
      <c r="H290" s="645" t="s">
        <v>723</v>
      </c>
    </row>
    <row r="291" spans="1:8" s="645" customFormat="1" x14ac:dyDescent="0.3">
      <c r="A291" s="666">
        <f t="shared" si="7"/>
        <v>270</v>
      </c>
      <c r="B291" s="669" t="s">
        <v>2663</v>
      </c>
      <c r="C291" s="670" t="s">
        <v>2337</v>
      </c>
      <c r="E291" s="642" t="str">
        <f t="shared" si="6"/>
        <v/>
      </c>
      <c r="H291" s="645" t="s">
        <v>723</v>
      </c>
    </row>
    <row r="292" spans="1:8" s="645" customFormat="1" ht="31.2" x14ac:dyDescent="0.3">
      <c r="A292" s="649">
        <f t="shared" si="7"/>
        <v>271</v>
      </c>
      <c r="B292" s="667" t="s">
        <v>2664</v>
      </c>
      <c r="C292" s="668" t="s">
        <v>2338</v>
      </c>
      <c r="E292" s="642" t="str">
        <f t="shared" si="6"/>
        <v/>
      </c>
      <c r="H292" s="645" t="s">
        <v>723</v>
      </c>
    </row>
    <row r="293" spans="1:8" s="645" customFormat="1" x14ac:dyDescent="0.3">
      <c r="A293" s="649">
        <f t="shared" ref="A293:A324" si="8">A292+1</f>
        <v>272</v>
      </c>
      <c r="B293" s="667" t="s">
        <v>2665</v>
      </c>
      <c r="C293" s="668" t="s">
        <v>2339</v>
      </c>
      <c r="E293" s="642" t="str">
        <f t="shared" si="6"/>
        <v/>
      </c>
      <c r="H293" s="645" t="s">
        <v>723</v>
      </c>
    </row>
    <row r="294" spans="1:8" s="645" customFormat="1" x14ac:dyDescent="0.3">
      <c r="A294" s="666">
        <f t="shared" si="8"/>
        <v>273</v>
      </c>
      <c r="B294" s="669" t="s">
        <v>2666</v>
      </c>
      <c r="C294" s="670" t="s">
        <v>2340</v>
      </c>
      <c r="E294" s="642" t="str">
        <f t="shared" si="6"/>
        <v/>
      </c>
      <c r="H294" s="645" t="s">
        <v>723</v>
      </c>
    </row>
    <row r="295" spans="1:8" s="645" customFormat="1" x14ac:dyDescent="0.3">
      <c r="A295" s="649">
        <f t="shared" si="8"/>
        <v>274</v>
      </c>
      <c r="B295" s="667" t="s">
        <v>2667</v>
      </c>
      <c r="C295" s="668" t="s">
        <v>2341</v>
      </c>
      <c r="E295" s="642" t="str">
        <f t="shared" si="6"/>
        <v/>
      </c>
      <c r="H295" s="645" t="s">
        <v>723</v>
      </c>
    </row>
    <row r="296" spans="1:8" s="645" customFormat="1" x14ac:dyDescent="0.3">
      <c r="A296" s="649">
        <f t="shared" si="8"/>
        <v>275</v>
      </c>
      <c r="B296" s="667" t="s">
        <v>2668</v>
      </c>
      <c r="C296" s="668" t="s">
        <v>2342</v>
      </c>
      <c r="E296" s="642" t="str">
        <f t="shared" si="6"/>
        <v/>
      </c>
      <c r="H296" s="645" t="s">
        <v>723</v>
      </c>
    </row>
    <row r="297" spans="1:8" s="645" customFormat="1" x14ac:dyDescent="0.3">
      <c r="A297" s="649">
        <f t="shared" si="8"/>
        <v>276</v>
      </c>
      <c r="B297" s="667" t="s">
        <v>2669</v>
      </c>
      <c r="C297" s="668" t="s">
        <v>2343</v>
      </c>
      <c r="E297" s="642" t="str">
        <f t="shared" si="6"/>
        <v/>
      </c>
      <c r="H297" s="645" t="s">
        <v>723</v>
      </c>
    </row>
    <row r="298" spans="1:8" s="645" customFormat="1" x14ac:dyDescent="0.3">
      <c r="A298" s="649">
        <f t="shared" si="8"/>
        <v>277</v>
      </c>
      <c r="B298" s="667" t="s">
        <v>2670</v>
      </c>
      <c r="C298" s="668" t="s">
        <v>2344</v>
      </c>
      <c r="E298" s="642" t="str">
        <f t="shared" si="6"/>
        <v/>
      </c>
      <c r="H298" s="645" t="s">
        <v>723</v>
      </c>
    </row>
    <row r="299" spans="1:8" s="645" customFormat="1" x14ac:dyDescent="0.3">
      <c r="A299" s="649">
        <f t="shared" si="8"/>
        <v>278</v>
      </c>
      <c r="B299" s="667" t="s">
        <v>2671</v>
      </c>
      <c r="C299" s="668" t="s">
        <v>2345</v>
      </c>
      <c r="E299" s="642" t="str">
        <f t="shared" si="6"/>
        <v/>
      </c>
      <c r="H299" s="645" t="s">
        <v>723</v>
      </c>
    </row>
    <row r="300" spans="1:8" s="645" customFormat="1" x14ac:dyDescent="0.3">
      <c r="A300" s="649">
        <f t="shared" si="8"/>
        <v>279</v>
      </c>
      <c r="B300" s="667" t="s">
        <v>2672</v>
      </c>
      <c r="C300" s="668" t="s">
        <v>2346</v>
      </c>
      <c r="E300" s="642" t="str">
        <f t="shared" si="6"/>
        <v/>
      </c>
      <c r="H300" s="645" t="s">
        <v>723</v>
      </c>
    </row>
    <row r="301" spans="1:8" s="645" customFormat="1" x14ac:dyDescent="0.3">
      <c r="A301" s="649">
        <f t="shared" si="8"/>
        <v>280</v>
      </c>
      <c r="B301" s="667" t="s">
        <v>2673</v>
      </c>
      <c r="C301" s="668" t="s">
        <v>2347</v>
      </c>
      <c r="E301" s="642" t="str">
        <f t="shared" si="6"/>
        <v/>
      </c>
      <c r="H301" s="645" t="s">
        <v>723</v>
      </c>
    </row>
    <row r="302" spans="1:8" s="645" customFormat="1" x14ac:dyDescent="0.3">
      <c r="A302" s="649">
        <f t="shared" si="8"/>
        <v>281</v>
      </c>
      <c r="B302" s="667" t="s">
        <v>2674</v>
      </c>
      <c r="C302" s="668" t="s">
        <v>2348</v>
      </c>
      <c r="E302" s="642" t="str">
        <f t="shared" si="6"/>
        <v/>
      </c>
      <c r="H302" s="645" t="s">
        <v>723</v>
      </c>
    </row>
    <row r="303" spans="1:8" s="645" customFormat="1" x14ac:dyDescent="0.3">
      <c r="A303" s="649">
        <f t="shared" si="8"/>
        <v>282</v>
      </c>
      <c r="B303" s="667" t="s">
        <v>2675</v>
      </c>
      <c r="C303" s="668" t="s">
        <v>2349</v>
      </c>
      <c r="E303" s="642" t="str">
        <f t="shared" si="6"/>
        <v/>
      </c>
      <c r="H303" s="645" t="s">
        <v>723</v>
      </c>
    </row>
    <row r="304" spans="1:8" s="645" customFormat="1" x14ac:dyDescent="0.3">
      <c r="A304" s="649">
        <f t="shared" si="8"/>
        <v>283</v>
      </c>
      <c r="B304" s="667" t="s">
        <v>2676</v>
      </c>
      <c r="C304" s="668" t="s">
        <v>2350</v>
      </c>
      <c r="E304" s="642" t="str">
        <f t="shared" si="6"/>
        <v/>
      </c>
      <c r="H304" s="645" t="s">
        <v>723</v>
      </c>
    </row>
    <row r="305" spans="1:8" s="645" customFormat="1" x14ac:dyDescent="0.3">
      <c r="A305" s="649">
        <f t="shared" si="8"/>
        <v>284</v>
      </c>
      <c r="B305" s="667" t="s">
        <v>2677</v>
      </c>
      <c r="C305" s="668" t="s">
        <v>2351</v>
      </c>
      <c r="E305" s="642" t="str">
        <f t="shared" si="6"/>
        <v/>
      </c>
      <c r="H305" s="645" t="s">
        <v>723</v>
      </c>
    </row>
    <row r="306" spans="1:8" s="645" customFormat="1" x14ac:dyDescent="0.3">
      <c r="A306" s="649">
        <f t="shared" si="8"/>
        <v>285</v>
      </c>
      <c r="B306" s="667" t="s">
        <v>2678</v>
      </c>
      <c r="C306" s="668" t="s">
        <v>2353</v>
      </c>
      <c r="E306" s="642" t="str">
        <f t="shared" si="6"/>
        <v/>
      </c>
      <c r="H306" s="645" t="s">
        <v>723</v>
      </c>
    </row>
    <row r="307" spans="1:8" s="645" customFormat="1" x14ac:dyDescent="0.3">
      <c r="A307" s="666">
        <f t="shared" si="8"/>
        <v>286</v>
      </c>
      <c r="B307" s="669" t="s">
        <v>2679</v>
      </c>
      <c r="C307" s="670" t="s">
        <v>2354</v>
      </c>
      <c r="E307" s="642" t="str">
        <f t="shared" si="6"/>
        <v/>
      </c>
      <c r="H307" s="645" t="s">
        <v>723</v>
      </c>
    </row>
    <row r="308" spans="1:8" s="645" customFormat="1" x14ac:dyDescent="0.3">
      <c r="A308" s="649">
        <f t="shared" si="8"/>
        <v>287</v>
      </c>
      <c r="B308" s="667" t="s">
        <v>2680</v>
      </c>
      <c r="C308" s="668" t="s">
        <v>2355</v>
      </c>
      <c r="E308" s="642" t="str">
        <f t="shared" si="6"/>
        <v/>
      </c>
      <c r="H308" s="645" t="s">
        <v>723</v>
      </c>
    </row>
    <row r="309" spans="1:8" s="645" customFormat="1" x14ac:dyDescent="0.3">
      <c r="A309" s="649">
        <f t="shared" si="8"/>
        <v>288</v>
      </c>
      <c r="B309" s="667" t="s">
        <v>2681</v>
      </c>
      <c r="C309" s="668" t="s">
        <v>2356</v>
      </c>
      <c r="E309" s="642" t="str">
        <f t="shared" si="6"/>
        <v/>
      </c>
      <c r="H309" s="645" t="s">
        <v>723</v>
      </c>
    </row>
    <row r="310" spans="1:8" s="645" customFormat="1" x14ac:dyDescent="0.3">
      <c r="A310" s="666">
        <f t="shared" si="8"/>
        <v>289</v>
      </c>
      <c r="B310" s="669" t="s">
        <v>2682</v>
      </c>
      <c r="C310" s="670" t="s">
        <v>2357</v>
      </c>
      <c r="E310" s="642" t="str">
        <f t="shared" si="6"/>
        <v/>
      </c>
      <c r="H310" s="645" t="s">
        <v>723</v>
      </c>
    </row>
    <row r="311" spans="1:8" s="645" customFormat="1" x14ac:dyDescent="0.3">
      <c r="A311" s="666">
        <f t="shared" si="8"/>
        <v>290</v>
      </c>
      <c r="B311" s="669" t="s">
        <v>2683</v>
      </c>
      <c r="C311" s="670" t="s">
        <v>2358</v>
      </c>
      <c r="E311" s="642" t="str">
        <f t="shared" si="6"/>
        <v/>
      </c>
      <c r="H311" s="645" t="s">
        <v>723</v>
      </c>
    </row>
    <row r="312" spans="1:8" s="645" customFormat="1" x14ac:dyDescent="0.3">
      <c r="A312" s="649">
        <f t="shared" si="8"/>
        <v>291</v>
      </c>
      <c r="B312" s="667" t="s">
        <v>2684</v>
      </c>
      <c r="C312" s="668" t="s">
        <v>2359</v>
      </c>
      <c r="E312" s="642" t="str">
        <f t="shared" si="6"/>
        <v/>
      </c>
      <c r="H312" s="645" t="s">
        <v>723</v>
      </c>
    </row>
    <row r="313" spans="1:8" s="645" customFormat="1" x14ac:dyDescent="0.3">
      <c r="A313" s="666">
        <f t="shared" si="8"/>
        <v>292</v>
      </c>
      <c r="B313" s="669" t="s">
        <v>509</v>
      </c>
      <c r="C313" s="670" t="s">
        <v>510</v>
      </c>
      <c r="E313" s="642" t="str">
        <f t="shared" si="6"/>
        <v/>
      </c>
      <c r="H313" s="645" t="s">
        <v>723</v>
      </c>
    </row>
    <row r="314" spans="1:8" s="645" customFormat="1" x14ac:dyDescent="0.3">
      <c r="A314" s="666">
        <f t="shared" si="8"/>
        <v>293</v>
      </c>
      <c r="B314" s="669" t="s">
        <v>511</v>
      </c>
      <c r="C314" s="670" t="s">
        <v>512</v>
      </c>
      <c r="E314" s="642" t="str">
        <f t="shared" si="6"/>
        <v/>
      </c>
      <c r="H314" s="645" t="s">
        <v>723</v>
      </c>
    </row>
    <row r="315" spans="1:8" s="645" customFormat="1" x14ac:dyDescent="0.3">
      <c r="A315" s="649">
        <f t="shared" si="8"/>
        <v>294</v>
      </c>
      <c r="B315" s="667" t="s">
        <v>2685</v>
      </c>
      <c r="C315" s="668" t="s">
        <v>2360</v>
      </c>
      <c r="E315" s="642" t="str">
        <f t="shared" si="6"/>
        <v/>
      </c>
      <c r="H315" s="645" t="s">
        <v>723</v>
      </c>
    </row>
    <row r="316" spans="1:8" s="645" customFormat="1" x14ac:dyDescent="0.3">
      <c r="A316" s="666">
        <f t="shared" si="8"/>
        <v>295</v>
      </c>
      <c r="B316" s="669" t="s">
        <v>513</v>
      </c>
      <c r="C316" s="670" t="s">
        <v>514</v>
      </c>
      <c r="E316" s="642" t="str">
        <f t="shared" si="6"/>
        <v/>
      </c>
      <c r="H316" s="645" t="s">
        <v>723</v>
      </c>
    </row>
    <row r="317" spans="1:8" s="645" customFormat="1" x14ac:dyDescent="0.3">
      <c r="A317" s="666">
        <f t="shared" si="8"/>
        <v>296</v>
      </c>
      <c r="B317" s="669" t="s">
        <v>515</v>
      </c>
      <c r="C317" s="670" t="s">
        <v>516</v>
      </c>
      <c r="E317" s="642" t="str">
        <f t="shared" si="6"/>
        <v/>
      </c>
      <c r="H317" s="645" t="s">
        <v>723</v>
      </c>
    </row>
    <row r="318" spans="1:8" s="645" customFormat="1" x14ac:dyDescent="0.3">
      <c r="A318" s="666">
        <f t="shared" si="8"/>
        <v>297</v>
      </c>
      <c r="B318" s="669" t="s">
        <v>517</v>
      </c>
      <c r="C318" s="670" t="s">
        <v>518</v>
      </c>
      <c r="E318" s="642" t="str">
        <f t="shared" si="6"/>
        <v/>
      </c>
      <c r="H318" s="645" t="s">
        <v>723</v>
      </c>
    </row>
    <row r="319" spans="1:8" s="645" customFormat="1" x14ac:dyDescent="0.3">
      <c r="A319" s="649">
        <f t="shared" si="8"/>
        <v>298</v>
      </c>
      <c r="B319" s="667" t="s">
        <v>2686</v>
      </c>
      <c r="C319" s="668" t="s">
        <v>2362</v>
      </c>
      <c r="E319" s="642" t="str">
        <f t="shared" si="6"/>
        <v/>
      </c>
      <c r="H319" s="645" t="s">
        <v>723</v>
      </c>
    </row>
    <row r="320" spans="1:8" s="645" customFormat="1" x14ac:dyDescent="0.3">
      <c r="A320" s="649">
        <f t="shared" si="8"/>
        <v>299</v>
      </c>
      <c r="B320" s="667" t="s">
        <v>2687</v>
      </c>
      <c r="C320" s="668" t="s">
        <v>2364</v>
      </c>
      <c r="E320" s="642" t="str">
        <f t="shared" si="6"/>
        <v/>
      </c>
      <c r="H320" s="645" t="s">
        <v>723</v>
      </c>
    </row>
    <row r="321" spans="1:8" s="645" customFormat="1" x14ac:dyDescent="0.3">
      <c r="A321" s="649">
        <f t="shared" si="8"/>
        <v>300</v>
      </c>
      <c r="B321" s="667" t="s">
        <v>2688</v>
      </c>
      <c r="C321" s="668" t="s">
        <v>2365</v>
      </c>
      <c r="E321" s="642" t="str">
        <f t="shared" si="6"/>
        <v/>
      </c>
      <c r="H321" s="645" t="s">
        <v>723</v>
      </c>
    </row>
    <row r="322" spans="1:8" s="645" customFormat="1" x14ac:dyDescent="0.3">
      <c r="A322" s="666">
        <f t="shared" si="8"/>
        <v>301</v>
      </c>
      <c r="B322" s="669" t="s">
        <v>519</v>
      </c>
      <c r="C322" s="670" t="s">
        <v>520</v>
      </c>
      <c r="E322" s="642" t="str">
        <f t="shared" si="6"/>
        <v/>
      </c>
      <c r="H322" s="645" t="s">
        <v>723</v>
      </c>
    </row>
    <row r="323" spans="1:8" s="645" customFormat="1" x14ac:dyDescent="0.3">
      <c r="A323" s="649">
        <f t="shared" si="8"/>
        <v>302</v>
      </c>
      <c r="B323" s="667" t="s">
        <v>2689</v>
      </c>
      <c r="C323" s="668" t="s">
        <v>2366</v>
      </c>
      <c r="E323" s="642" t="str">
        <f t="shared" ref="E323:E386" si="9">IF(F323&gt;0,A323:A323,"")</f>
        <v/>
      </c>
      <c r="H323" s="645" t="s">
        <v>723</v>
      </c>
    </row>
    <row r="324" spans="1:8" s="645" customFormat="1" x14ac:dyDescent="0.3">
      <c r="A324" s="649">
        <f t="shared" si="8"/>
        <v>303</v>
      </c>
      <c r="B324" s="667" t="s">
        <v>2690</v>
      </c>
      <c r="C324" s="668" t="s">
        <v>2367</v>
      </c>
      <c r="E324" s="642" t="str">
        <f t="shared" si="9"/>
        <v/>
      </c>
      <c r="H324" s="645" t="s">
        <v>723</v>
      </c>
    </row>
    <row r="325" spans="1:8" s="645" customFormat="1" x14ac:dyDescent="0.3">
      <c r="A325" s="649">
        <f t="shared" ref="A325:A338" si="10">A324+1</f>
        <v>304</v>
      </c>
      <c r="B325" s="667" t="s">
        <v>2691</v>
      </c>
      <c r="C325" s="668" t="s">
        <v>2368</v>
      </c>
      <c r="E325" s="642" t="str">
        <f t="shared" si="9"/>
        <v/>
      </c>
      <c r="H325" s="645" t="s">
        <v>723</v>
      </c>
    </row>
    <row r="326" spans="1:8" s="645" customFormat="1" x14ac:dyDescent="0.3">
      <c r="A326" s="649">
        <f t="shared" si="10"/>
        <v>305</v>
      </c>
      <c r="B326" s="667" t="s">
        <v>2692</v>
      </c>
      <c r="C326" s="668" t="s">
        <v>2369</v>
      </c>
      <c r="E326" s="642" t="str">
        <f t="shared" si="9"/>
        <v/>
      </c>
      <c r="H326" s="645" t="s">
        <v>723</v>
      </c>
    </row>
    <row r="327" spans="1:8" s="645" customFormat="1" x14ac:dyDescent="0.3">
      <c r="A327" s="666">
        <f t="shared" si="10"/>
        <v>306</v>
      </c>
      <c r="B327" s="669" t="s">
        <v>521</v>
      </c>
      <c r="C327" s="670" t="s">
        <v>522</v>
      </c>
      <c r="E327" s="642" t="str">
        <f t="shared" si="9"/>
        <v/>
      </c>
      <c r="H327" s="645" t="s">
        <v>723</v>
      </c>
    </row>
    <row r="328" spans="1:8" s="645" customFormat="1" x14ac:dyDescent="0.3">
      <c r="A328" s="666">
        <f t="shared" si="10"/>
        <v>307</v>
      </c>
      <c r="B328" s="669" t="s">
        <v>523</v>
      </c>
      <c r="C328" s="670" t="s">
        <v>524</v>
      </c>
      <c r="E328" s="642" t="str">
        <f t="shared" si="9"/>
        <v/>
      </c>
      <c r="H328" s="645" t="s">
        <v>723</v>
      </c>
    </row>
    <row r="329" spans="1:8" s="645" customFormat="1" x14ac:dyDescent="0.3">
      <c r="A329" s="666">
        <f t="shared" si="10"/>
        <v>308</v>
      </c>
      <c r="B329" s="669" t="s">
        <v>250</v>
      </c>
      <c r="C329" s="670" t="s">
        <v>525</v>
      </c>
      <c r="E329" s="642" t="str">
        <f t="shared" si="9"/>
        <v/>
      </c>
      <c r="H329" s="645" t="s">
        <v>723</v>
      </c>
    </row>
    <row r="330" spans="1:8" s="645" customFormat="1" x14ac:dyDescent="0.3">
      <c r="A330" s="666">
        <f t="shared" si="10"/>
        <v>309</v>
      </c>
      <c r="B330" s="669" t="s">
        <v>368</v>
      </c>
      <c r="C330" s="670" t="s">
        <v>2370</v>
      </c>
      <c r="E330" s="642" t="str">
        <f t="shared" si="9"/>
        <v/>
      </c>
      <c r="H330" s="645" t="s">
        <v>723</v>
      </c>
    </row>
    <row r="331" spans="1:8" s="645" customFormat="1" x14ac:dyDescent="0.3">
      <c r="A331" s="666">
        <f t="shared" si="10"/>
        <v>310</v>
      </c>
      <c r="B331" s="669" t="s">
        <v>2693</v>
      </c>
      <c r="C331" s="670" t="s">
        <v>2371</v>
      </c>
      <c r="E331" s="642" t="str">
        <f t="shared" si="9"/>
        <v/>
      </c>
      <c r="H331" s="645" t="s">
        <v>723</v>
      </c>
    </row>
    <row r="332" spans="1:8" s="645" customFormat="1" x14ac:dyDescent="0.3">
      <c r="A332" s="649">
        <f t="shared" si="10"/>
        <v>311</v>
      </c>
      <c r="B332" s="667" t="s">
        <v>2694</v>
      </c>
      <c r="C332" s="668" t="s">
        <v>2372</v>
      </c>
      <c r="E332" s="642" t="str">
        <f t="shared" si="9"/>
        <v/>
      </c>
      <c r="H332" s="645" t="s">
        <v>723</v>
      </c>
    </row>
    <row r="333" spans="1:8" s="645" customFormat="1" x14ac:dyDescent="0.3">
      <c r="A333" s="649">
        <f t="shared" si="10"/>
        <v>312</v>
      </c>
      <c r="B333" s="667" t="s">
        <v>2695</v>
      </c>
      <c r="C333" s="668" t="s">
        <v>2373</v>
      </c>
      <c r="E333" s="642" t="str">
        <f t="shared" si="9"/>
        <v/>
      </c>
      <c r="H333" s="645" t="s">
        <v>723</v>
      </c>
    </row>
    <row r="334" spans="1:8" s="645" customFormat="1" x14ac:dyDescent="0.3">
      <c r="A334" s="649">
        <f t="shared" si="10"/>
        <v>313</v>
      </c>
      <c r="B334" s="667" t="s">
        <v>2696</v>
      </c>
      <c r="C334" s="668" t="s">
        <v>2374</v>
      </c>
      <c r="E334" s="642" t="str">
        <f t="shared" si="9"/>
        <v/>
      </c>
      <c r="H334" s="645" t="s">
        <v>723</v>
      </c>
    </row>
    <row r="335" spans="1:8" s="645" customFormat="1" x14ac:dyDescent="0.3">
      <c r="A335" s="649">
        <f t="shared" si="10"/>
        <v>314</v>
      </c>
      <c r="B335" s="667" t="s">
        <v>2697</v>
      </c>
      <c r="C335" s="668" t="s">
        <v>2375</v>
      </c>
      <c r="E335" s="642" t="str">
        <f t="shared" si="9"/>
        <v/>
      </c>
      <c r="H335" s="645" t="s">
        <v>723</v>
      </c>
    </row>
    <row r="336" spans="1:8" s="645" customFormat="1" x14ac:dyDescent="0.3">
      <c r="A336" s="649">
        <f t="shared" si="10"/>
        <v>315</v>
      </c>
      <c r="B336" s="667" t="s">
        <v>2698</v>
      </c>
      <c r="C336" s="668" t="s">
        <v>2376</v>
      </c>
      <c r="E336" s="642" t="str">
        <f t="shared" si="9"/>
        <v/>
      </c>
      <c r="H336" s="645" t="s">
        <v>723</v>
      </c>
    </row>
    <row r="337" spans="1:8" s="645" customFormat="1" x14ac:dyDescent="0.3">
      <c r="A337" s="649">
        <f t="shared" si="10"/>
        <v>316</v>
      </c>
      <c r="B337" s="667" t="s">
        <v>2699</v>
      </c>
      <c r="C337" s="668" t="s">
        <v>2377</v>
      </c>
      <c r="E337" s="642" t="str">
        <f t="shared" si="9"/>
        <v/>
      </c>
      <c r="H337" s="645" t="s">
        <v>723</v>
      </c>
    </row>
    <row r="338" spans="1:8" s="645" customFormat="1" x14ac:dyDescent="0.3">
      <c r="A338" s="649">
        <f t="shared" si="10"/>
        <v>317</v>
      </c>
      <c r="B338" s="667" t="s">
        <v>2700</v>
      </c>
      <c r="C338" s="668" t="s">
        <v>2378</v>
      </c>
      <c r="E338" s="642" t="str">
        <f t="shared" si="9"/>
        <v/>
      </c>
      <c r="H338" s="645" t="s">
        <v>723</v>
      </c>
    </row>
    <row r="339" spans="1:8" s="645" customFormat="1" x14ac:dyDescent="0.3">
      <c r="A339" s="648"/>
      <c r="B339" s="646"/>
      <c r="C339" s="647"/>
      <c r="E339" s="642" t="str">
        <f t="shared" si="9"/>
        <v/>
      </c>
      <c r="H339" s="645" t="s">
        <v>723</v>
      </c>
    </row>
    <row r="340" spans="1:8" s="645" customFormat="1" x14ac:dyDescent="0.3">
      <c r="A340" s="673" t="s">
        <v>2701</v>
      </c>
      <c r="C340" s="647"/>
      <c r="E340" s="642" t="str">
        <f t="shared" si="9"/>
        <v>Statisticals</v>
      </c>
      <c r="F340" s="645">
        <f>COUNT(A341:A444)</f>
        <v>104</v>
      </c>
      <c r="H340" s="645" t="s">
        <v>723</v>
      </c>
    </row>
    <row r="341" spans="1:8" s="645" customFormat="1" x14ac:dyDescent="0.3">
      <c r="A341" s="649">
        <f>A338+1</f>
        <v>318</v>
      </c>
      <c r="B341" s="667" t="s">
        <v>2702</v>
      </c>
      <c r="C341" s="668" t="s">
        <v>2379</v>
      </c>
      <c r="E341" s="642" t="str">
        <f t="shared" si="9"/>
        <v/>
      </c>
      <c r="H341" s="645" t="s">
        <v>723</v>
      </c>
    </row>
    <row r="342" spans="1:8" s="645" customFormat="1" x14ac:dyDescent="0.3">
      <c r="A342" s="666">
        <f t="shared" ref="A342:A373" si="11">A341+1</f>
        <v>319</v>
      </c>
      <c r="B342" s="669" t="s">
        <v>252</v>
      </c>
      <c r="C342" s="670" t="s">
        <v>526</v>
      </c>
      <c r="E342" s="642" t="str">
        <f t="shared" si="9"/>
        <v/>
      </c>
      <c r="H342" s="645" t="s">
        <v>723</v>
      </c>
    </row>
    <row r="343" spans="1:8" s="645" customFormat="1" x14ac:dyDescent="0.3">
      <c r="A343" s="649">
        <f t="shared" si="11"/>
        <v>320</v>
      </c>
      <c r="B343" s="667" t="s">
        <v>2703</v>
      </c>
      <c r="C343" s="668" t="s">
        <v>2380</v>
      </c>
      <c r="E343" s="642" t="str">
        <f t="shared" si="9"/>
        <v/>
      </c>
      <c r="H343" s="645" t="s">
        <v>723</v>
      </c>
    </row>
    <row r="344" spans="1:8" s="645" customFormat="1" x14ac:dyDescent="0.3">
      <c r="A344" s="666">
        <f t="shared" si="11"/>
        <v>321</v>
      </c>
      <c r="B344" s="669" t="s">
        <v>251</v>
      </c>
      <c r="C344" s="670" t="s">
        <v>2381</v>
      </c>
      <c r="E344" s="642" t="str">
        <f t="shared" si="9"/>
        <v/>
      </c>
      <c r="H344" s="645" t="s">
        <v>723</v>
      </c>
    </row>
    <row r="345" spans="1:8" s="645" customFormat="1" x14ac:dyDescent="0.3">
      <c r="A345" s="666">
        <f t="shared" si="11"/>
        <v>322</v>
      </c>
      <c r="B345" s="669" t="s">
        <v>372</v>
      </c>
      <c r="C345" s="670" t="s">
        <v>2382</v>
      </c>
      <c r="E345" s="642" t="str">
        <f t="shared" si="9"/>
        <v/>
      </c>
      <c r="H345" s="645" t="s">
        <v>723</v>
      </c>
    </row>
    <row r="346" spans="1:8" s="645" customFormat="1" x14ac:dyDescent="0.3">
      <c r="A346" s="649">
        <f t="shared" si="11"/>
        <v>323</v>
      </c>
      <c r="B346" s="667" t="s">
        <v>2704</v>
      </c>
      <c r="C346" s="668" t="s">
        <v>2461</v>
      </c>
      <c r="E346" s="642" t="str">
        <f t="shared" si="9"/>
        <v/>
      </c>
      <c r="H346" s="645" t="s">
        <v>723</v>
      </c>
    </row>
    <row r="347" spans="1:8" s="645" customFormat="1" x14ac:dyDescent="0.3">
      <c r="A347" s="649">
        <f t="shared" si="11"/>
        <v>324</v>
      </c>
      <c r="B347" s="667" t="s">
        <v>2705</v>
      </c>
      <c r="C347" s="668" t="s">
        <v>2463</v>
      </c>
      <c r="E347" s="642" t="str">
        <f t="shared" si="9"/>
        <v/>
      </c>
      <c r="H347" s="645" t="s">
        <v>723</v>
      </c>
    </row>
    <row r="348" spans="1:8" s="645" customFormat="1" x14ac:dyDescent="0.3">
      <c r="A348" s="649">
        <f t="shared" si="11"/>
        <v>325</v>
      </c>
      <c r="B348" s="667" t="s">
        <v>2706</v>
      </c>
      <c r="C348" s="668" t="s">
        <v>2098</v>
      </c>
      <c r="E348" s="642" t="str">
        <f t="shared" si="9"/>
        <v/>
      </c>
      <c r="H348" s="645" t="s">
        <v>723</v>
      </c>
    </row>
    <row r="349" spans="1:8" s="645" customFormat="1" x14ac:dyDescent="0.3">
      <c r="A349" s="649">
        <f t="shared" si="11"/>
        <v>326</v>
      </c>
      <c r="B349" s="667" t="s">
        <v>2707</v>
      </c>
      <c r="C349" s="668" t="s">
        <v>2384</v>
      </c>
      <c r="E349" s="642" t="str">
        <f t="shared" si="9"/>
        <v/>
      </c>
      <c r="H349" s="645" t="s">
        <v>723</v>
      </c>
    </row>
    <row r="350" spans="1:8" s="645" customFormat="1" ht="31.2" x14ac:dyDescent="0.3">
      <c r="A350" s="649">
        <f t="shared" si="11"/>
        <v>327</v>
      </c>
      <c r="B350" s="667" t="s">
        <v>2708</v>
      </c>
      <c r="C350" s="668" t="s">
        <v>2104</v>
      </c>
      <c r="E350" s="642" t="str">
        <f t="shared" si="9"/>
        <v/>
      </c>
      <c r="H350" s="645" t="s">
        <v>723</v>
      </c>
    </row>
    <row r="351" spans="1:8" s="645" customFormat="1" x14ac:dyDescent="0.3">
      <c r="A351" s="649">
        <f t="shared" si="11"/>
        <v>328</v>
      </c>
      <c r="B351" s="667" t="s">
        <v>2709</v>
      </c>
      <c r="C351" s="668" t="s">
        <v>2710</v>
      </c>
      <c r="E351" s="642" t="str">
        <f t="shared" si="9"/>
        <v/>
      </c>
      <c r="H351" s="645" t="s">
        <v>723</v>
      </c>
    </row>
    <row r="352" spans="1:8" s="645" customFormat="1" x14ac:dyDescent="0.3">
      <c r="A352" s="649">
        <f t="shared" si="11"/>
        <v>329</v>
      </c>
      <c r="B352" s="667" t="s">
        <v>2711</v>
      </c>
      <c r="C352" s="668" t="s">
        <v>2099</v>
      </c>
      <c r="E352" s="642" t="str">
        <f t="shared" si="9"/>
        <v/>
      </c>
      <c r="H352" s="645" t="s">
        <v>723</v>
      </c>
    </row>
    <row r="353" spans="1:8" s="645" customFormat="1" x14ac:dyDescent="0.3">
      <c r="A353" s="649">
        <f t="shared" si="11"/>
        <v>330</v>
      </c>
      <c r="B353" s="667" t="s">
        <v>2712</v>
      </c>
      <c r="C353" s="668" t="s">
        <v>2710</v>
      </c>
      <c r="E353" s="642" t="str">
        <f t="shared" si="9"/>
        <v/>
      </c>
      <c r="H353" s="645" t="s">
        <v>723</v>
      </c>
    </row>
    <row r="354" spans="1:8" s="645" customFormat="1" x14ac:dyDescent="0.3">
      <c r="A354" s="649">
        <f t="shared" si="11"/>
        <v>331</v>
      </c>
      <c r="B354" s="667" t="s">
        <v>2713</v>
      </c>
      <c r="C354" s="668" t="s">
        <v>2100</v>
      </c>
      <c r="E354" s="642" t="str">
        <f t="shared" si="9"/>
        <v/>
      </c>
      <c r="H354" s="645" t="s">
        <v>723</v>
      </c>
    </row>
    <row r="355" spans="1:8" s="645" customFormat="1" x14ac:dyDescent="0.3">
      <c r="A355" s="649">
        <f t="shared" si="11"/>
        <v>332</v>
      </c>
      <c r="B355" s="667" t="s">
        <v>2714</v>
      </c>
      <c r="C355" s="668" t="s">
        <v>2101</v>
      </c>
      <c r="E355" s="642" t="str">
        <f t="shared" si="9"/>
        <v/>
      </c>
      <c r="H355" s="645" t="s">
        <v>723</v>
      </c>
    </row>
    <row r="356" spans="1:8" s="645" customFormat="1" x14ac:dyDescent="0.3">
      <c r="A356" s="649">
        <f t="shared" si="11"/>
        <v>333</v>
      </c>
      <c r="B356" s="667" t="s">
        <v>2715</v>
      </c>
      <c r="C356" s="668" t="s">
        <v>2102</v>
      </c>
      <c r="E356" s="642" t="str">
        <f t="shared" si="9"/>
        <v/>
      </c>
      <c r="H356" s="645" t="s">
        <v>723</v>
      </c>
    </row>
    <row r="357" spans="1:8" s="645" customFormat="1" x14ac:dyDescent="0.3">
      <c r="A357" s="649">
        <f t="shared" si="11"/>
        <v>334</v>
      </c>
      <c r="B357" s="667" t="s">
        <v>2716</v>
      </c>
      <c r="C357" s="668" t="s">
        <v>2385</v>
      </c>
      <c r="E357" s="642" t="str">
        <f t="shared" si="9"/>
        <v/>
      </c>
      <c r="H357" s="645" t="s">
        <v>723</v>
      </c>
    </row>
    <row r="358" spans="1:8" s="645" customFormat="1" x14ac:dyDescent="0.3">
      <c r="A358" s="649">
        <f t="shared" si="11"/>
        <v>335</v>
      </c>
      <c r="B358" s="667" t="s">
        <v>2717</v>
      </c>
      <c r="C358" s="668" t="s">
        <v>2386</v>
      </c>
      <c r="E358" s="642" t="str">
        <f t="shared" si="9"/>
        <v/>
      </c>
      <c r="H358" s="645" t="s">
        <v>723</v>
      </c>
    </row>
    <row r="359" spans="1:8" s="645" customFormat="1" x14ac:dyDescent="0.3">
      <c r="A359" s="666">
        <f t="shared" si="11"/>
        <v>336</v>
      </c>
      <c r="B359" s="669" t="s">
        <v>255</v>
      </c>
      <c r="C359" s="670" t="s">
        <v>527</v>
      </c>
      <c r="E359" s="642" t="str">
        <f t="shared" si="9"/>
        <v/>
      </c>
      <c r="H359" s="645" t="s">
        <v>723</v>
      </c>
    </row>
    <row r="360" spans="1:8" s="645" customFormat="1" x14ac:dyDescent="0.3">
      <c r="A360" s="666">
        <f t="shared" si="11"/>
        <v>337</v>
      </c>
      <c r="B360" s="669" t="s">
        <v>256</v>
      </c>
      <c r="C360" s="670" t="s">
        <v>528</v>
      </c>
      <c r="E360" s="642" t="str">
        <f t="shared" si="9"/>
        <v/>
      </c>
      <c r="H360" s="645" t="s">
        <v>723</v>
      </c>
    </row>
    <row r="361" spans="1:8" s="645" customFormat="1" x14ac:dyDescent="0.3">
      <c r="A361" s="666">
        <f t="shared" si="11"/>
        <v>338</v>
      </c>
      <c r="B361" s="669" t="s">
        <v>529</v>
      </c>
      <c r="C361" s="670" t="s">
        <v>530</v>
      </c>
      <c r="E361" s="642" t="str">
        <f t="shared" si="9"/>
        <v/>
      </c>
      <c r="H361" s="645" t="s">
        <v>723</v>
      </c>
    </row>
    <row r="362" spans="1:8" s="645" customFormat="1" x14ac:dyDescent="0.3">
      <c r="A362" s="666">
        <f t="shared" si="11"/>
        <v>339</v>
      </c>
      <c r="B362" s="669" t="s">
        <v>249</v>
      </c>
      <c r="C362" s="670" t="s">
        <v>2387</v>
      </c>
      <c r="E362" s="642" t="str">
        <f t="shared" si="9"/>
        <v/>
      </c>
      <c r="H362" s="645" t="s">
        <v>723</v>
      </c>
    </row>
    <row r="363" spans="1:8" s="645" customFormat="1" x14ac:dyDescent="0.3">
      <c r="A363" s="666">
        <f t="shared" si="11"/>
        <v>340</v>
      </c>
      <c r="B363" s="669" t="s">
        <v>370</v>
      </c>
      <c r="C363" s="670" t="s">
        <v>2388</v>
      </c>
      <c r="E363" s="642" t="str">
        <f t="shared" si="9"/>
        <v/>
      </c>
      <c r="H363" s="645" t="s">
        <v>723</v>
      </c>
    </row>
    <row r="364" spans="1:8" s="645" customFormat="1" x14ac:dyDescent="0.3">
      <c r="A364" s="649">
        <f t="shared" si="11"/>
        <v>341</v>
      </c>
      <c r="B364" s="667" t="s">
        <v>2718</v>
      </c>
      <c r="C364" s="668" t="s">
        <v>2103</v>
      </c>
      <c r="E364" s="642" t="str">
        <f t="shared" si="9"/>
        <v/>
      </c>
      <c r="H364" s="645" t="s">
        <v>723</v>
      </c>
    </row>
    <row r="365" spans="1:8" s="645" customFormat="1" ht="31.2" x14ac:dyDescent="0.3">
      <c r="A365" s="649">
        <f t="shared" si="11"/>
        <v>342</v>
      </c>
      <c r="B365" s="667" t="s">
        <v>2719</v>
      </c>
      <c r="C365" s="668" t="s">
        <v>2389</v>
      </c>
      <c r="E365" s="642" t="str">
        <f t="shared" si="9"/>
        <v/>
      </c>
      <c r="H365" s="645" t="s">
        <v>723</v>
      </c>
    </row>
    <row r="366" spans="1:8" s="645" customFormat="1" x14ac:dyDescent="0.3">
      <c r="A366" s="649">
        <f t="shared" si="11"/>
        <v>343</v>
      </c>
      <c r="B366" s="667" t="s">
        <v>2720</v>
      </c>
      <c r="C366" s="668" t="s">
        <v>2390</v>
      </c>
      <c r="E366" s="642" t="str">
        <f t="shared" si="9"/>
        <v/>
      </c>
      <c r="H366" s="645" t="s">
        <v>723</v>
      </c>
    </row>
    <row r="367" spans="1:8" s="645" customFormat="1" x14ac:dyDescent="0.3">
      <c r="A367" s="649">
        <f t="shared" si="11"/>
        <v>344</v>
      </c>
      <c r="B367" s="667" t="s">
        <v>2721</v>
      </c>
      <c r="C367" s="668" t="s">
        <v>2105</v>
      </c>
      <c r="E367" s="642" t="str">
        <f t="shared" si="9"/>
        <v/>
      </c>
      <c r="H367" s="645" t="s">
        <v>723</v>
      </c>
    </row>
    <row r="368" spans="1:8" s="645" customFormat="1" x14ac:dyDescent="0.3">
      <c r="A368" s="649">
        <f t="shared" si="11"/>
        <v>345</v>
      </c>
      <c r="B368" s="667" t="s">
        <v>2722</v>
      </c>
      <c r="C368" s="668" t="s">
        <v>2106</v>
      </c>
      <c r="E368" s="642" t="str">
        <f t="shared" si="9"/>
        <v/>
      </c>
      <c r="H368" s="645" t="s">
        <v>723</v>
      </c>
    </row>
    <row r="369" spans="1:8" s="645" customFormat="1" x14ac:dyDescent="0.3">
      <c r="A369" s="649">
        <f t="shared" si="11"/>
        <v>346</v>
      </c>
      <c r="B369" s="667" t="s">
        <v>2723</v>
      </c>
      <c r="C369" s="668" t="s">
        <v>2106</v>
      </c>
      <c r="E369" s="642" t="str">
        <f t="shared" si="9"/>
        <v/>
      </c>
      <c r="H369" s="645" t="s">
        <v>723</v>
      </c>
    </row>
    <row r="370" spans="1:8" s="645" customFormat="1" x14ac:dyDescent="0.3">
      <c r="A370" s="649">
        <f t="shared" si="11"/>
        <v>347</v>
      </c>
      <c r="B370" s="667" t="s">
        <v>2724</v>
      </c>
      <c r="C370" s="668" t="s">
        <v>2107</v>
      </c>
      <c r="E370" s="642" t="str">
        <f t="shared" si="9"/>
        <v/>
      </c>
      <c r="H370" s="645" t="s">
        <v>723</v>
      </c>
    </row>
    <row r="371" spans="1:8" s="645" customFormat="1" x14ac:dyDescent="0.3">
      <c r="A371" s="649">
        <f t="shared" si="11"/>
        <v>348</v>
      </c>
      <c r="B371" s="667" t="s">
        <v>2725</v>
      </c>
      <c r="C371" s="668" t="s">
        <v>2107</v>
      </c>
      <c r="E371" s="642" t="str">
        <f t="shared" si="9"/>
        <v/>
      </c>
      <c r="H371" s="645" t="s">
        <v>723</v>
      </c>
    </row>
    <row r="372" spans="1:8" s="645" customFormat="1" x14ac:dyDescent="0.3">
      <c r="A372" s="649">
        <f t="shared" si="11"/>
        <v>349</v>
      </c>
      <c r="B372" s="667" t="s">
        <v>2726</v>
      </c>
      <c r="C372" s="668" t="s">
        <v>2108</v>
      </c>
      <c r="E372" s="642" t="str">
        <f t="shared" si="9"/>
        <v/>
      </c>
      <c r="H372" s="645" t="s">
        <v>723</v>
      </c>
    </row>
    <row r="373" spans="1:8" s="645" customFormat="1" x14ac:dyDescent="0.3">
      <c r="A373" s="649">
        <f t="shared" si="11"/>
        <v>350</v>
      </c>
      <c r="B373" s="667" t="s">
        <v>2727</v>
      </c>
      <c r="C373" s="668" t="s">
        <v>2391</v>
      </c>
      <c r="E373" s="642" t="str">
        <f t="shared" si="9"/>
        <v/>
      </c>
      <c r="H373" s="645" t="s">
        <v>723</v>
      </c>
    </row>
    <row r="374" spans="1:8" s="645" customFormat="1" x14ac:dyDescent="0.3">
      <c r="A374" s="649">
        <f t="shared" ref="A374:A405" si="12">A373+1</f>
        <v>351</v>
      </c>
      <c r="B374" s="667" t="s">
        <v>2728</v>
      </c>
      <c r="C374" s="668" t="s">
        <v>2392</v>
      </c>
      <c r="E374" s="642" t="str">
        <f t="shared" si="9"/>
        <v/>
      </c>
      <c r="H374" s="645" t="s">
        <v>723</v>
      </c>
    </row>
    <row r="375" spans="1:8" s="645" customFormat="1" x14ac:dyDescent="0.3">
      <c r="A375" s="666">
        <f t="shared" si="12"/>
        <v>352</v>
      </c>
      <c r="B375" s="669" t="s">
        <v>2064</v>
      </c>
      <c r="C375" s="670" t="s">
        <v>2393</v>
      </c>
      <c r="E375" s="642" t="str">
        <f t="shared" si="9"/>
        <v/>
      </c>
      <c r="H375" s="645" t="s">
        <v>723</v>
      </c>
    </row>
    <row r="376" spans="1:8" s="645" customFormat="1" x14ac:dyDescent="0.3">
      <c r="A376" s="649">
        <f t="shared" si="12"/>
        <v>353</v>
      </c>
      <c r="B376" s="667" t="s">
        <v>2729</v>
      </c>
      <c r="C376" s="668" t="s">
        <v>2394</v>
      </c>
      <c r="E376" s="642" t="str">
        <f t="shared" si="9"/>
        <v/>
      </c>
      <c r="H376" s="645" t="s">
        <v>723</v>
      </c>
    </row>
    <row r="377" spans="1:8" s="645" customFormat="1" x14ac:dyDescent="0.3">
      <c r="A377" s="649">
        <f t="shared" si="12"/>
        <v>354</v>
      </c>
      <c r="B377" s="667" t="s">
        <v>2730</v>
      </c>
      <c r="C377" s="668" t="s">
        <v>2731</v>
      </c>
      <c r="E377" s="642" t="str">
        <f t="shared" si="9"/>
        <v/>
      </c>
      <c r="H377" s="645" t="s">
        <v>723</v>
      </c>
    </row>
    <row r="378" spans="1:8" s="645" customFormat="1" x14ac:dyDescent="0.3">
      <c r="A378" s="649">
        <f t="shared" si="12"/>
        <v>355</v>
      </c>
      <c r="B378" s="667" t="s">
        <v>2732</v>
      </c>
      <c r="C378" s="668" t="s">
        <v>2109</v>
      </c>
      <c r="E378" s="642" t="str">
        <f t="shared" si="9"/>
        <v/>
      </c>
      <c r="H378" s="645" t="s">
        <v>723</v>
      </c>
    </row>
    <row r="379" spans="1:8" s="645" customFormat="1" x14ac:dyDescent="0.3">
      <c r="A379" s="649">
        <f t="shared" si="12"/>
        <v>356</v>
      </c>
      <c r="B379" s="667" t="s">
        <v>2733</v>
      </c>
      <c r="C379" s="668" t="s">
        <v>2110</v>
      </c>
      <c r="E379" s="642" t="str">
        <f t="shared" si="9"/>
        <v/>
      </c>
      <c r="H379" s="645" t="s">
        <v>723</v>
      </c>
    </row>
    <row r="380" spans="1:8" s="645" customFormat="1" x14ac:dyDescent="0.3">
      <c r="A380" s="649">
        <f t="shared" si="12"/>
        <v>357</v>
      </c>
      <c r="B380" s="667" t="s">
        <v>2734</v>
      </c>
      <c r="C380" s="668" t="s">
        <v>2735</v>
      </c>
      <c r="E380" s="642" t="str">
        <f t="shared" si="9"/>
        <v/>
      </c>
      <c r="H380" s="645" t="s">
        <v>723</v>
      </c>
    </row>
    <row r="381" spans="1:8" s="645" customFormat="1" x14ac:dyDescent="0.3">
      <c r="A381" s="649">
        <f t="shared" si="12"/>
        <v>358</v>
      </c>
      <c r="B381" s="667" t="s">
        <v>2736</v>
      </c>
      <c r="C381" s="668" t="s">
        <v>2735</v>
      </c>
      <c r="E381" s="642" t="str">
        <f t="shared" si="9"/>
        <v/>
      </c>
      <c r="H381" s="645" t="s">
        <v>723</v>
      </c>
    </row>
    <row r="382" spans="1:8" s="645" customFormat="1" x14ac:dyDescent="0.3">
      <c r="A382" s="649">
        <f t="shared" si="12"/>
        <v>359</v>
      </c>
      <c r="B382" s="667" t="s">
        <v>2737</v>
      </c>
      <c r="C382" s="668" t="s">
        <v>2397</v>
      </c>
      <c r="E382" s="642" t="str">
        <f t="shared" si="9"/>
        <v/>
      </c>
      <c r="H382" s="645" t="s">
        <v>723</v>
      </c>
    </row>
    <row r="383" spans="1:8" s="645" customFormat="1" x14ac:dyDescent="0.3">
      <c r="A383" s="649">
        <f t="shared" si="12"/>
        <v>360</v>
      </c>
      <c r="B383" s="667" t="s">
        <v>2738</v>
      </c>
      <c r="C383" s="668" t="s">
        <v>2398</v>
      </c>
      <c r="E383" s="642" t="str">
        <f t="shared" si="9"/>
        <v/>
      </c>
      <c r="H383" s="645" t="s">
        <v>723</v>
      </c>
    </row>
    <row r="384" spans="1:8" s="645" customFormat="1" x14ac:dyDescent="0.3">
      <c r="A384" s="666">
        <f t="shared" si="12"/>
        <v>361</v>
      </c>
      <c r="B384" s="669" t="s">
        <v>2066</v>
      </c>
      <c r="C384" s="670" t="s">
        <v>2399</v>
      </c>
      <c r="E384" s="642" t="str">
        <f t="shared" si="9"/>
        <v/>
      </c>
      <c r="H384" s="645" t="s">
        <v>723</v>
      </c>
    </row>
    <row r="385" spans="1:8" s="645" customFormat="1" x14ac:dyDescent="0.3">
      <c r="A385" s="649">
        <f t="shared" si="12"/>
        <v>362</v>
      </c>
      <c r="B385" s="667" t="s">
        <v>2739</v>
      </c>
      <c r="C385" s="668" t="s">
        <v>2400</v>
      </c>
      <c r="E385" s="642" t="str">
        <f t="shared" si="9"/>
        <v/>
      </c>
      <c r="H385" s="645" t="s">
        <v>723</v>
      </c>
    </row>
    <row r="386" spans="1:8" s="645" customFormat="1" x14ac:dyDescent="0.3">
      <c r="A386" s="649">
        <f t="shared" si="12"/>
        <v>363</v>
      </c>
      <c r="B386" s="667" t="s">
        <v>2740</v>
      </c>
      <c r="C386" s="668" t="s">
        <v>2111</v>
      </c>
      <c r="E386" s="642" t="str">
        <f t="shared" si="9"/>
        <v/>
      </c>
      <c r="H386" s="645" t="s">
        <v>723</v>
      </c>
    </row>
    <row r="387" spans="1:8" s="645" customFormat="1" x14ac:dyDescent="0.3">
      <c r="A387" s="666">
        <f t="shared" si="12"/>
        <v>364</v>
      </c>
      <c r="B387" s="669" t="s">
        <v>2068</v>
      </c>
      <c r="C387" s="670" t="s">
        <v>2401</v>
      </c>
      <c r="E387" s="642" t="str">
        <f t="shared" ref="E387:E450" si="13">IF(F387&gt;0,A387:A387,"")</f>
        <v/>
      </c>
      <c r="H387" s="645" t="s">
        <v>723</v>
      </c>
    </row>
    <row r="388" spans="1:8" s="645" customFormat="1" x14ac:dyDescent="0.3">
      <c r="A388" s="666">
        <f t="shared" si="12"/>
        <v>365</v>
      </c>
      <c r="B388" s="669" t="s">
        <v>2741</v>
      </c>
      <c r="C388" s="670" t="s">
        <v>2402</v>
      </c>
      <c r="E388" s="642" t="str">
        <f t="shared" si="13"/>
        <v/>
      </c>
      <c r="H388" s="645" t="s">
        <v>723</v>
      </c>
    </row>
    <row r="389" spans="1:8" s="645" customFormat="1" x14ac:dyDescent="0.3">
      <c r="A389" s="666">
        <f t="shared" si="12"/>
        <v>366</v>
      </c>
      <c r="B389" s="669" t="s">
        <v>2742</v>
      </c>
      <c r="C389" s="670" t="s">
        <v>2403</v>
      </c>
      <c r="E389" s="642" t="str">
        <f t="shared" si="13"/>
        <v/>
      </c>
      <c r="H389" s="645" t="s">
        <v>723</v>
      </c>
    </row>
    <row r="390" spans="1:8" s="645" customFormat="1" x14ac:dyDescent="0.3">
      <c r="A390" s="666">
        <f t="shared" si="12"/>
        <v>367</v>
      </c>
      <c r="B390" s="669" t="s">
        <v>2069</v>
      </c>
      <c r="C390" s="670" t="s">
        <v>2404</v>
      </c>
      <c r="E390" s="642" t="str">
        <f t="shared" si="13"/>
        <v/>
      </c>
      <c r="H390" s="645" t="s">
        <v>723</v>
      </c>
    </row>
    <row r="391" spans="1:8" s="645" customFormat="1" x14ac:dyDescent="0.3">
      <c r="A391" s="666">
        <f t="shared" si="12"/>
        <v>368</v>
      </c>
      <c r="B391" s="669" t="s">
        <v>2070</v>
      </c>
      <c r="C391" s="670" t="s">
        <v>2405</v>
      </c>
      <c r="E391" s="642" t="str">
        <f t="shared" si="13"/>
        <v/>
      </c>
      <c r="H391" s="645" t="s">
        <v>723</v>
      </c>
    </row>
    <row r="392" spans="1:8" s="645" customFormat="1" x14ac:dyDescent="0.3">
      <c r="A392" s="649">
        <f t="shared" si="12"/>
        <v>369</v>
      </c>
      <c r="B392" s="667" t="s">
        <v>2743</v>
      </c>
      <c r="C392" s="668" t="s">
        <v>2112</v>
      </c>
      <c r="E392" s="642" t="str">
        <f t="shared" si="13"/>
        <v/>
      </c>
      <c r="H392" s="645" t="s">
        <v>723</v>
      </c>
    </row>
    <row r="393" spans="1:8" s="645" customFormat="1" x14ac:dyDescent="0.3">
      <c r="A393" s="649">
        <f t="shared" si="12"/>
        <v>370</v>
      </c>
      <c r="B393" s="667" t="s">
        <v>2744</v>
      </c>
      <c r="C393" s="668" t="s">
        <v>2406</v>
      </c>
      <c r="E393" s="642" t="str">
        <f t="shared" si="13"/>
        <v/>
      </c>
      <c r="H393" s="645" t="s">
        <v>723</v>
      </c>
    </row>
    <row r="394" spans="1:8" s="645" customFormat="1" x14ac:dyDescent="0.3">
      <c r="A394" s="666">
        <f t="shared" si="12"/>
        <v>371</v>
      </c>
      <c r="B394" s="669" t="s">
        <v>253</v>
      </c>
      <c r="C394" s="670" t="s">
        <v>532</v>
      </c>
      <c r="E394" s="642" t="str">
        <f t="shared" si="13"/>
        <v/>
      </c>
      <c r="H394" s="645" t="s">
        <v>723</v>
      </c>
    </row>
    <row r="395" spans="1:8" s="645" customFormat="1" x14ac:dyDescent="0.3">
      <c r="A395" s="666">
        <f t="shared" si="12"/>
        <v>372</v>
      </c>
      <c r="B395" s="669" t="s">
        <v>2745</v>
      </c>
      <c r="C395" s="670" t="s">
        <v>2407</v>
      </c>
      <c r="E395" s="642" t="str">
        <f t="shared" si="13"/>
        <v/>
      </c>
      <c r="H395" s="645" t="s">
        <v>723</v>
      </c>
    </row>
    <row r="396" spans="1:8" s="645" customFormat="1" x14ac:dyDescent="0.3">
      <c r="A396" s="649">
        <f t="shared" si="12"/>
        <v>373</v>
      </c>
      <c r="B396" s="667" t="s">
        <v>2746</v>
      </c>
      <c r="C396" s="668" t="s">
        <v>2408</v>
      </c>
      <c r="E396" s="642" t="str">
        <f t="shared" si="13"/>
        <v/>
      </c>
      <c r="H396" s="645" t="s">
        <v>723</v>
      </c>
    </row>
    <row r="397" spans="1:8" s="645" customFormat="1" x14ac:dyDescent="0.3">
      <c r="A397" s="666">
        <f t="shared" si="12"/>
        <v>374</v>
      </c>
      <c r="B397" s="669" t="s">
        <v>254</v>
      </c>
      <c r="C397" s="670" t="s">
        <v>533</v>
      </c>
      <c r="E397" s="642" t="str">
        <f t="shared" si="13"/>
        <v/>
      </c>
      <c r="H397" s="645" t="s">
        <v>723</v>
      </c>
    </row>
    <row r="398" spans="1:8" s="645" customFormat="1" x14ac:dyDescent="0.3">
      <c r="A398" s="666">
        <f t="shared" si="12"/>
        <v>375</v>
      </c>
      <c r="B398" s="669" t="s">
        <v>2747</v>
      </c>
      <c r="C398" s="670" t="s">
        <v>2409</v>
      </c>
      <c r="E398" s="642" t="str">
        <f t="shared" si="13"/>
        <v/>
      </c>
      <c r="H398" s="645" t="s">
        <v>723</v>
      </c>
    </row>
    <row r="399" spans="1:8" s="645" customFormat="1" x14ac:dyDescent="0.3">
      <c r="A399" s="649">
        <f t="shared" si="12"/>
        <v>376</v>
      </c>
      <c r="B399" s="667" t="s">
        <v>2748</v>
      </c>
      <c r="C399" s="668" t="s">
        <v>2410</v>
      </c>
      <c r="E399" s="642" t="str">
        <f t="shared" si="13"/>
        <v/>
      </c>
      <c r="H399" s="645" t="s">
        <v>723</v>
      </c>
    </row>
    <row r="400" spans="1:8" s="645" customFormat="1" x14ac:dyDescent="0.3">
      <c r="A400" s="649">
        <f t="shared" si="12"/>
        <v>377</v>
      </c>
      <c r="B400" s="667" t="s">
        <v>2749</v>
      </c>
      <c r="C400" s="668" t="s">
        <v>2113</v>
      </c>
      <c r="E400" s="642" t="str">
        <f t="shared" si="13"/>
        <v/>
      </c>
      <c r="H400" s="645" t="s">
        <v>723</v>
      </c>
    </row>
    <row r="401" spans="1:8" s="645" customFormat="1" x14ac:dyDescent="0.3">
      <c r="A401" s="649">
        <f t="shared" si="12"/>
        <v>378</v>
      </c>
      <c r="B401" s="667" t="s">
        <v>2750</v>
      </c>
      <c r="C401" s="668" t="s">
        <v>2114</v>
      </c>
      <c r="E401" s="642" t="str">
        <f t="shared" si="13"/>
        <v/>
      </c>
      <c r="H401" s="645" t="s">
        <v>723</v>
      </c>
    </row>
    <row r="402" spans="1:8" s="645" customFormat="1" x14ac:dyDescent="0.3">
      <c r="A402" s="649">
        <f t="shared" si="12"/>
        <v>379</v>
      </c>
      <c r="B402" s="667" t="s">
        <v>2751</v>
      </c>
      <c r="C402" s="668" t="s">
        <v>2115</v>
      </c>
      <c r="E402" s="642" t="str">
        <f t="shared" si="13"/>
        <v/>
      </c>
      <c r="H402" s="645" t="s">
        <v>723</v>
      </c>
    </row>
    <row r="403" spans="1:8" s="645" customFormat="1" x14ac:dyDescent="0.3">
      <c r="A403" s="649">
        <f t="shared" si="12"/>
        <v>380</v>
      </c>
      <c r="B403" s="667" t="s">
        <v>2752</v>
      </c>
      <c r="C403" s="668" t="s">
        <v>2116</v>
      </c>
      <c r="E403" s="642" t="str">
        <f t="shared" si="13"/>
        <v/>
      </c>
      <c r="H403" s="645" t="s">
        <v>723</v>
      </c>
    </row>
    <row r="404" spans="1:8" s="645" customFormat="1" x14ac:dyDescent="0.3">
      <c r="A404" s="649">
        <f t="shared" si="12"/>
        <v>381</v>
      </c>
      <c r="B404" s="667" t="s">
        <v>2753</v>
      </c>
      <c r="C404" s="668" t="s">
        <v>2117</v>
      </c>
      <c r="E404" s="642" t="str">
        <f t="shared" si="13"/>
        <v/>
      </c>
      <c r="H404" s="645" t="s">
        <v>723</v>
      </c>
    </row>
    <row r="405" spans="1:8" s="645" customFormat="1" x14ac:dyDescent="0.3">
      <c r="A405" s="649">
        <f t="shared" si="12"/>
        <v>382</v>
      </c>
      <c r="B405" s="667" t="s">
        <v>2754</v>
      </c>
      <c r="C405" s="668" t="s">
        <v>2118</v>
      </c>
      <c r="E405" s="642" t="str">
        <f t="shared" si="13"/>
        <v/>
      </c>
      <c r="H405" s="645" t="s">
        <v>723</v>
      </c>
    </row>
    <row r="406" spans="1:8" s="645" customFormat="1" x14ac:dyDescent="0.3">
      <c r="A406" s="666">
        <f t="shared" ref="A406:A437" si="14">A405+1</f>
        <v>383</v>
      </c>
      <c r="B406" s="669" t="s">
        <v>2078</v>
      </c>
      <c r="C406" s="670" t="s">
        <v>2411</v>
      </c>
      <c r="E406" s="642" t="str">
        <f t="shared" si="13"/>
        <v/>
      </c>
      <c r="H406" s="645" t="s">
        <v>723</v>
      </c>
    </row>
    <row r="407" spans="1:8" s="645" customFormat="1" x14ac:dyDescent="0.3">
      <c r="A407" s="649">
        <f t="shared" si="14"/>
        <v>384</v>
      </c>
      <c r="B407" s="667" t="s">
        <v>2755</v>
      </c>
      <c r="C407" s="668" t="s">
        <v>2412</v>
      </c>
      <c r="E407" s="642" t="str">
        <f t="shared" si="13"/>
        <v/>
      </c>
      <c r="H407" s="645" t="s">
        <v>723</v>
      </c>
    </row>
    <row r="408" spans="1:8" s="645" customFormat="1" x14ac:dyDescent="0.3">
      <c r="A408" s="649">
        <f t="shared" si="14"/>
        <v>385</v>
      </c>
      <c r="B408" s="667" t="s">
        <v>2756</v>
      </c>
      <c r="C408" s="668" t="s">
        <v>2119</v>
      </c>
      <c r="E408" s="642" t="str">
        <f t="shared" si="13"/>
        <v/>
      </c>
      <c r="H408" s="645" t="s">
        <v>723</v>
      </c>
    </row>
    <row r="409" spans="1:8" s="645" customFormat="1" x14ac:dyDescent="0.3">
      <c r="A409" s="649">
        <f t="shared" si="14"/>
        <v>386</v>
      </c>
      <c r="B409" s="667" t="s">
        <v>2757</v>
      </c>
      <c r="C409" s="668" t="s">
        <v>2413</v>
      </c>
      <c r="E409" s="642" t="str">
        <f t="shared" si="13"/>
        <v/>
      </c>
      <c r="H409" s="645" t="s">
        <v>723</v>
      </c>
    </row>
    <row r="410" spans="1:8" s="645" customFormat="1" x14ac:dyDescent="0.3">
      <c r="A410" s="649">
        <f t="shared" si="14"/>
        <v>387</v>
      </c>
      <c r="B410" s="667" t="s">
        <v>2758</v>
      </c>
      <c r="C410" s="668" t="s">
        <v>2120</v>
      </c>
      <c r="E410" s="642" t="str">
        <f t="shared" si="13"/>
        <v/>
      </c>
      <c r="H410" s="645" t="s">
        <v>723</v>
      </c>
    </row>
    <row r="411" spans="1:8" s="645" customFormat="1" x14ac:dyDescent="0.3">
      <c r="A411" s="649">
        <f t="shared" si="14"/>
        <v>388</v>
      </c>
      <c r="B411" s="667" t="s">
        <v>2759</v>
      </c>
      <c r="C411" s="668" t="s">
        <v>2414</v>
      </c>
      <c r="E411" s="642" t="str">
        <f t="shared" si="13"/>
        <v/>
      </c>
      <c r="H411" s="645" t="s">
        <v>723</v>
      </c>
    </row>
    <row r="412" spans="1:8" s="645" customFormat="1" ht="31.2" x14ac:dyDescent="0.3">
      <c r="A412" s="649">
        <f t="shared" si="14"/>
        <v>389</v>
      </c>
      <c r="B412" s="667" t="s">
        <v>2760</v>
      </c>
      <c r="C412" s="668" t="s">
        <v>2416</v>
      </c>
      <c r="E412" s="642" t="str">
        <f t="shared" si="13"/>
        <v/>
      </c>
      <c r="H412" s="645" t="s">
        <v>723</v>
      </c>
    </row>
    <row r="413" spans="1:8" s="645" customFormat="1" x14ac:dyDescent="0.3">
      <c r="A413" s="649">
        <f t="shared" si="14"/>
        <v>390</v>
      </c>
      <c r="B413" s="667" t="s">
        <v>2761</v>
      </c>
      <c r="C413" s="668" t="s">
        <v>2762</v>
      </c>
      <c r="E413" s="642" t="str">
        <f t="shared" si="13"/>
        <v/>
      </c>
      <c r="H413" s="645" t="s">
        <v>723</v>
      </c>
    </row>
    <row r="414" spans="1:8" s="645" customFormat="1" x14ac:dyDescent="0.3">
      <c r="A414" s="649">
        <f t="shared" si="14"/>
        <v>391</v>
      </c>
      <c r="B414" s="667" t="s">
        <v>2763</v>
      </c>
      <c r="C414" s="668" t="s">
        <v>2121</v>
      </c>
      <c r="E414" s="642" t="str">
        <f t="shared" si="13"/>
        <v/>
      </c>
      <c r="H414" s="645" t="s">
        <v>723</v>
      </c>
    </row>
    <row r="415" spans="1:8" s="645" customFormat="1" x14ac:dyDescent="0.3">
      <c r="A415" s="649">
        <f t="shared" si="14"/>
        <v>392</v>
      </c>
      <c r="B415" s="667" t="s">
        <v>2764</v>
      </c>
      <c r="C415" s="668" t="s">
        <v>2418</v>
      </c>
      <c r="E415" s="642" t="str">
        <f t="shared" si="13"/>
        <v/>
      </c>
      <c r="H415" s="645" t="s">
        <v>723</v>
      </c>
    </row>
    <row r="416" spans="1:8" s="645" customFormat="1" x14ac:dyDescent="0.3">
      <c r="A416" s="649">
        <f t="shared" si="14"/>
        <v>393</v>
      </c>
      <c r="B416" s="667" t="s">
        <v>2765</v>
      </c>
      <c r="C416" s="668" t="s">
        <v>2419</v>
      </c>
      <c r="E416" s="642" t="str">
        <f t="shared" si="13"/>
        <v/>
      </c>
      <c r="H416" s="645" t="s">
        <v>723</v>
      </c>
    </row>
    <row r="417" spans="1:8" s="645" customFormat="1" x14ac:dyDescent="0.3">
      <c r="A417" s="649">
        <f t="shared" si="14"/>
        <v>394</v>
      </c>
      <c r="B417" s="667" t="s">
        <v>2766</v>
      </c>
      <c r="C417" s="668" t="s">
        <v>2122</v>
      </c>
      <c r="E417" s="642" t="str">
        <f t="shared" si="13"/>
        <v/>
      </c>
      <c r="H417" s="645" t="s">
        <v>723</v>
      </c>
    </row>
    <row r="418" spans="1:8" s="645" customFormat="1" x14ac:dyDescent="0.3">
      <c r="A418" s="649">
        <f t="shared" si="14"/>
        <v>395</v>
      </c>
      <c r="B418" s="667" t="s">
        <v>2767</v>
      </c>
      <c r="C418" s="668" t="s">
        <v>535</v>
      </c>
      <c r="E418" s="642" t="str">
        <f t="shared" si="13"/>
        <v/>
      </c>
      <c r="H418" s="645" t="s">
        <v>723</v>
      </c>
    </row>
    <row r="419" spans="1:8" s="645" customFormat="1" x14ac:dyDescent="0.3">
      <c r="A419" s="649">
        <f t="shared" si="14"/>
        <v>396</v>
      </c>
      <c r="B419" s="667" t="s">
        <v>2768</v>
      </c>
      <c r="C419" s="668" t="s">
        <v>535</v>
      </c>
      <c r="E419" s="642" t="str">
        <f t="shared" si="13"/>
        <v/>
      </c>
      <c r="H419" s="645" t="s">
        <v>723</v>
      </c>
    </row>
    <row r="420" spans="1:8" s="645" customFormat="1" x14ac:dyDescent="0.3">
      <c r="A420" s="666">
        <f t="shared" si="14"/>
        <v>397</v>
      </c>
      <c r="B420" s="669" t="s">
        <v>2080</v>
      </c>
      <c r="C420" s="670" t="s">
        <v>2420</v>
      </c>
      <c r="E420" s="642" t="str">
        <f t="shared" si="13"/>
        <v/>
      </c>
      <c r="H420" s="645" t="s">
        <v>723</v>
      </c>
    </row>
    <row r="421" spans="1:8" s="645" customFormat="1" x14ac:dyDescent="0.3">
      <c r="A421" s="666">
        <f t="shared" si="14"/>
        <v>398</v>
      </c>
      <c r="B421" s="669" t="s">
        <v>2769</v>
      </c>
      <c r="C421" s="670" t="s">
        <v>2421</v>
      </c>
      <c r="E421" s="642" t="str">
        <f t="shared" si="13"/>
        <v/>
      </c>
      <c r="H421" s="645" t="s">
        <v>723</v>
      </c>
    </row>
    <row r="422" spans="1:8" s="645" customFormat="1" ht="31.2" x14ac:dyDescent="0.3">
      <c r="A422" s="666">
        <f t="shared" si="14"/>
        <v>399</v>
      </c>
      <c r="B422" s="669" t="s">
        <v>2770</v>
      </c>
      <c r="C422" s="670" t="s">
        <v>2423</v>
      </c>
      <c r="E422" s="642" t="str">
        <f t="shared" si="13"/>
        <v/>
      </c>
      <c r="H422" s="645" t="s">
        <v>723</v>
      </c>
    </row>
    <row r="423" spans="1:8" s="645" customFormat="1" x14ac:dyDescent="0.3">
      <c r="A423" s="666">
        <f t="shared" si="14"/>
        <v>400</v>
      </c>
      <c r="B423" s="669" t="s">
        <v>2081</v>
      </c>
      <c r="C423" s="670" t="s">
        <v>2424</v>
      </c>
      <c r="E423" s="642" t="str">
        <f t="shared" si="13"/>
        <v/>
      </c>
      <c r="H423" s="645" t="s">
        <v>723</v>
      </c>
    </row>
    <row r="424" spans="1:8" s="645" customFormat="1" x14ac:dyDescent="0.3">
      <c r="A424" s="666">
        <f t="shared" si="14"/>
        <v>401</v>
      </c>
      <c r="B424" s="669" t="s">
        <v>2771</v>
      </c>
      <c r="C424" s="670" t="s">
        <v>2425</v>
      </c>
      <c r="E424" s="642" t="str">
        <f t="shared" si="13"/>
        <v/>
      </c>
      <c r="H424" s="645" t="s">
        <v>723</v>
      </c>
    </row>
    <row r="425" spans="1:8" s="645" customFormat="1" x14ac:dyDescent="0.3">
      <c r="A425" s="649">
        <f t="shared" si="14"/>
        <v>402</v>
      </c>
      <c r="B425" s="667" t="s">
        <v>2772</v>
      </c>
      <c r="C425" s="668" t="s">
        <v>2426</v>
      </c>
      <c r="E425" s="642" t="str">
        <f t="shared" si="13"/>
        <v/>
      </c>
      <c r="H425" s="645" t="s">
        <v>723</v>
      </c>
    </row>
    <row r="426" spans="1:8" s="645" customFormat="1" x14ac:dyDescent="0.3">
      <c r="A426" s="649">
        <f t="shared" si="14"/>
        <v>403</v>
      </c>
      <c r="B426" s="667" t="s">
        <v>2773</v>
      </c>
      <c r="C426" s="668" t="s">
        <v>2124</v>
      </c>
      <c r="E426" s="642" t="str">
        <f t="shared" si="13"/>
        <v/>
      </c>
      <c r="H426" s="645" t="s">
        <v>723</v>
      </c>
    </row>
    <row r="427" spans="1:8" s="645" customFormat="1" x14ac:dyDescent="0.3">
      <c r="A427" s="649">
        <f t="shared" si="14"/>
        <v>404</v>
      </c>
      <c r="B427" s="667" t="s">
        <v>2774</v>
      </c>
      <c r="C427" s="668" t="s">
        <v>2123</v>
      </c>
      <c r="E427" s="642" t="str">
        <f t="shared" si="13"/>
        <v/>
      </c>
      <c r="H427" s="645" t="s">
        <v>723</v>
      </c>
    </row>
    <row r="428" spans="1:8" s="645" customFormat="1" x14ac:dyDescent="0.3">
      <c r="A428" s="649">
        <f t="shared" si="14"/>
        <v>405</v>
      </c>
      <c r="B428" s="667" t="s">
        <v>2083</v>
      </c>
      <c r="C428" s="668" t="s">
        <v>2427</v>
      </c>
      <c r="E428" s="642" t="str">
        <f t="shared" si="13"/>
        <v/>
      </c>
      <c r="H428" s="645" t="s">
        <v>723</v>
      </c>
    </row>
    <row r="429" spans="1:8" s="645" customFormat="1" x14ac:dyDescent="0.3">
      <c r="A429" s="649">
        <f t="shared" si="14"/>
        <v>406</v>
      </c>
      <c r="B429" s="667" t="s">
        <v>2085</v>
      </c>
      <c r="C429" s="668" t="s">
        <v>2428</v>
      </c>
      <c r="E429" s="642" t="str">
        <f t="shared" si="13"/>
        <v/>
      </c>
      <c r="H429" s="645" t="s">
        <v>723</v>
      </c>
    </row>
    <row r="430" spans="1:8" s="645" customFormat="1" x14ac:dyDescent="0.3">
      <c r="A430" s="649">
        <f t="shared" si="14"/>
        <v>407</v>
      </c>
      <c r="B430" s="667" t="s">
        <v>2086</v>
      </c>
      <c r="C430" s="668" t="s">
        <v>2429</v>
      </c>
      <c r="E430" s="642" t="str">
        <f t="shared" si="13"/>
        <v/>
      </c>
      <c r="H430" s="645" t="s">
        <v>723</v>
      </c>
    </row>
    <row r="431" spans="1:8" s="645" customFormat="1" x14ac:dyDescent="0.3">
      <c r="A431" s="649">
        <f t="shared" si="14"/>
        <v>408</v>
      </c>
      <c r="B431" s="667" t="s">
        <v>2775</v>
      </c>
      <c r="C431" s="668" t="s">
        <v>2430</v>
      </c>
      <c r="E431" s="642" t="str">
        <f t="shared" si="13"/>
        <v/>
      </c>
      <c r="H431" s="645" t="s">
        <v>723</v>
      </c>
    </row>
    <row r="432" spans="1:8" s="645" customFormat="1" x14ac:dyDescent="0.3">
      <c r="A432" s="649">
        <f t="shared" si="14"/>
        <v>409</v>
      </c>
      <c r="B432" s="667" t="s">
        <v>2776</v>
      </c>
      <c r="C432" s="668" t="s">
        <v>2430</v>
      </c>
      <c r="E432" s="642" t="str">
        <f t="shared" si="13"/>
        <v/>
      </c>
      <c r="H432" s="645" t="s">
        <v>723</v>
      </c>
    </row>
    <row r="433" spans="1:8" s="645" customFormat="1" x14ac:dyDescent="0.3">
      <c r="A433" s="649">
        <f t="shared" si="14"/>
        <v>410</v>
      </c>
      <c r="B433" s="667" t="s">
        <v>2777</v>
      </c>
      <c r="C433" s="668" t="s">
        <v>2125</v>
      </c>
      <c r="E433" s="642" t="str">
        <f t="shared" si="13"/>
        <v/>
      </c>
      <c r="H433" s="645" t="s">
        <v>723</v>
      </c>
    </row>
    <row r="434" spans="1:8" s="645" customFormat="1" x14ac:dyDescent="0.3">
      <c r="A434" s="649">
        <f t="shared" si="14"/>
        <v>411</v>
      </c>
      <c r="B434" s="667" t="s">
        <v>2778</v>
      </c>
      <c r="C434" s="668" t="s">
        <v>2779</v>
      </c>
      <c r="E434" s="642" t="str">
        <f t="shared" si="13"/>
        <v/>
      </c>
      <c r="H434" s="645" t="s">
        <v>723</v>
      </c>
    </row>
    <row r="435" spans="1:8" s="645" customFormat="1" x14ac:dyDescent="0.3">
      <c r="A435" s="649">
        <f t="shared" si="14"/>
        <v>412</v>
      </c>
      <c r="B435" s="667" t="s">
        <v>2780</v>
      </c>
      <c r="C435" s="668" t="s">
        <v>2126</v>
      </c>
      <c r="E435" s="642" t="str">
        <f t="shared" si="13"/>
        <v/>
      </c>
      <c r="H435" s="645" t="s">
        <v>723</v>
      </c>
    </row>
    <row r="436" spans="1:8" s="645" customFormat="1" x14ac:dyDescent="0.3">
      <c r="A436" s="649">
        <f t="shared" si="14"/>
        <v>413</v>
      </c>
      <c r="B436" s="667" t="s">
        <v>2781</v>
      </c>
      <c r="C436" s="668" t="s">
        <v>2127</v>
      </c>
      <c r="E436" s="642" t="str">
        <f t="shared" si="13"/>
        <v/>
      </c>
      <c r="H436" s="645" t="s">
        <v>723</v>
      </c>
    </row>
    <row r="437" spans="1:8" s="645" customFormat="1" x14ac:dyDescent="0.3">
      <c r="A437" s="666">
        <f t="shared" si="14"/>
        <v>414</v>
      </c>
      <c r="B437" s="669" t="s">
        <v>2088</v>
      </c>
      <c r="C437" s="670" t="s">
        <v>2431</v>
      </c>
      <c r="E437" s="642" t="str">
        <f t="shared" si="13"/>
        <v/>
      </c>
      <c r="H437" s="645" t="s">
        <v>723</v>
      </c>
    </row>
    <row r="438" spans="1:8" s="645" customFormat="1" x14ac:dyDescent="0.3">
      <c r="A438" s="649">
        <f t="shared" ref="A438:A444" si="15">A437+1</f>
        <v>415</v>
      </c>
      <c r="B438" s="667" t="s">
        <v>2782</v>
      </c>
      <c r="C438" s="668" t="s">
        <v>2432</v>
      </c>
      <c r="E438" s="642" t="str">
        <f t="shared" si="13"/>
        <v/>
      </c>
      <c r="H438" s="645" t="s">
        <v>723</v>
      </c>
    </row>
    <row r="439" spans="1:8" s="645" customFormat="1" x14ac:dyDescent="0.3">
      <c r="A439" s="649">
        <f t="shared" si="15"/>
        <v>416</v>
      </c>
      <c r="B439" s="667" t="s">
        <v>2783</v>
      </c>
      <c r="C439" s="668" t="s">
        <v>2129</v>
      </c>
      <c r="E439" s="642" t="str">
        <f t="shared" si="13"/>
        <v/>
      </c>
      <c r="H439" s="645" t="s">
        <v>723</v>
      </c>
    </row>
    <row r="440" spans="1:8" s="645" customFormat="1" x14ac:dyDescent="0.3">
      <c r="A440" s="649">
        <f t="shared" si="15"/>
        <v>417</v>
      </c>
      <c r="B440" s="667" t="s">
        <v>2784</v>
      </c>
      <c r="C440" s="668" t="s">
        <v>2128</v>
      </c>
      <c r="E440" s="642" t="str">
        <f t="shared" si="13"/>
        <v/>
      </c>
      <c r="H440" s="645" t="s">
        <v>723</v>
      </c>
    </row>
    <row r="441" spans="1:8" s="645" customFormat="1" x14ac:dyDescent="0.3">
      <c r="A441" s="649">
        <f t="shared" si="15"/>
        <v>418</v>
      </c>
      <c r="B441" s="667" t="s">
        <v>2090</v>
      </c>
      <c r="C441" s="668" t="s">
        <v>2433</v>
      </c>
      <c r="E441" s="642" t="str">
        <f t="shared" si="13"/>
        <v/>
      </c>
      <c r="H441" s="645" t="s">
        <v>723</v>
      </c>
    </row>
    <row r="442" spans="1:8" s="645" customFormat="1" x14ac:dyDescent="0.3">
      <c r="A442" s="649">
        <f t="shared" si="15"/>
        <v>419</v>
      </c>
      <c r="B442" s="667" t="s">
        <v>2092</v>
      </c>
      <c r="C442" s="668" t="s">
        <v>2434</v>
      </c>
      <c r="E442" s="642" t="str">
        <f t="shared" si="13"/>
        <v/>
      </c>
      <c r="H442" s="645" t="s">
        <v>723</v>
      </c>
    </row>
    <row r="443" spans="1:8" s="645" customFormat="1" x14ac:dyDescent="0.3">
      <c r="A443" s="649">
        <f t="shared" si="15"/>
        <v>420</v>
      </c>
      <c r="B443" s="667" t="s">
        <v>2785</v>
      </c>
      <c r="C443" s="668" t="s">
        <v>2130</v>
      </c>
      <c r="E443" s="642" t="str">
        <f t="shared" si="13"/>
        <v/>
      </c>
      <c r="H443" s="645" t="s">
        <v>723</v>
      </c>
    </row>
    <row r="444" spans="1:8" s="645" customFormat="1" x14ac:dyDescent="0.3">
      <c r="A444" s="649">
        <f t="shared" si="15"/>
        <v>421</v>
      </c>
      <c r="B444" s="667" t="s">
        <v>2786</v>
      </c>
      <c r="C444" s="668" t="s">
        <v>2131</v>
      </c>
      <c r="E444" s="642" t="str">
        <f t="shared" si="13"/>
        <v/>
      </c>
      <c r="H444" s="645" t="s">
        <v>723</v>
      </c>
    </row>
    <row r="445" spans="1:8" s="645" customFormat="1" x14ac:dyDescent="0.3">
      <c r="A445" s="648"/>
      <c r="B445" s="646"/>
      <c r="C445" s="647"/>
      <c r="E445" s="642" t="str">
        <f t="shared" si="13"/>
        <v/>
      </c>
      <c r="H445" s="645" t="s">
        <v>723</v>
      </c>
    </row>
    <row r="446" spans="1:8" s="645" customFormat="1" x14ac:dyDescent="0.3">
      <c r="A446" s="673" t="s">
        <v>2787</v>
      </c>
      <c r="C446" s="647"/>
      <c r="E446" s="642" t="str">
        <f t="shared" si="13"/>
        <v>Texts</v>
      </c>
      <c r="F446" s="645">
        <f>COUNT(A447:A476)</f>
        <v>30</v>
      </c>
      <c r="H446" s="645" t="s">
        <v>723</v>
      </c>
    </row>
    <row r="447" spans="1:8" s="645" customFormat="1" ht="31.2" x14ac:dyDescent="0.3">
      <c r="A447" s="649">
        <f>A444+1</f>
        <v>422</v>
      </c>
      <c r="B447" s="667" t="s">
        <v>2788</v>
      </c>
      <c r="C447" s="668" t="s">
        <v>2435</v>
      </c>
      <c r="E447" s="642" t="str">
        <f t="shared" si="13"/>
        <v/>
      </c>
      <c r="H447" s="645" t="s">
        <v>723</v>
      </c>
    </row>
    <row r="448" spans="1:8" s="645" customFormat="1" x14ac:dyDescent="0.3">
      <c r="A448" s="649">
        <f t="shared" ref="A448:A476" si="16">A447+1</f>
        <v>423</v>
      </c>
      <c r="B448" s="667" t="s">
        <v>2789</v>
      </c>
      <c r="C448" s="668" t="s">
        <v>2436</v>
      </c>
      <c r="E448" s="642" t="str">
        <f t="shared" si="13"/>
        <v/>
      </c>
      <c r="H448" s="645" t="s">
        <v>723</v>
      </c>
    </row>
    <row r="449" spans="1:8" s="645" customFormat="1" x14ac:dyDescent="0.3">
      <c r="A449" s="666">
        <f t="shared" si="16"/>
        <v>424</v>
      </c>
      <c r="B449" s="669" t="s">
        <v>2790</v>
      </c>
      <c r="C449" s="670" t="s">
        <v>2437</v>
      </c>
      <c r="E449" s="642" t="str">
        <f t="shared" si="13"/>
        <v/>
      </c>
      <c r="H449" s="645" t="s">
        <v>723</v>
      </c>
    </row>
    <row r="450" spans="1:8" s="645" customFormat="1" x14ac:dyDescent="0.3">
      <c r="A450" s="666">
        <f t="shared" si="16"/>
        <v>425</v>
      </c>
      <c r="B450" s="669" t="s">
        <v>536</v>
      </c>
      <c r="C450" s="670" t="s">
        <v>537</v>
      </c>
      <c r="E450" s="642" t="str">
        <f t="shared" si="13"/>
        <v/>
      </c>
      <c r="H450" s="645" t="s">
        <v>723</v>
      </c>
    </row>
    <row r="451" spans="1:8" s="645" customFormat="1" x14ac:dyDescent="0.3">
      <c r="A451" s="666">
        <f t="shared" si="16"/>
        <v>426</v>
      </c>
      <c r="B451" s="669" t="s">
        <v>2791</v>
      </c>
      <c r="C451" s="670" t="s">
        <v>2438</v>
      </c>
      <c r="E451" s="642" t="str">
        <f t="shared" ref="E451:E487" si="17">IF(F451&gt;0,A451:A451,"")</f>
        <v/>
      </c>
      <c r="H451" s="645" t="s">
        <v>723</v>
      </c>
    </row>
    <row r="452" spans="1:8" s="645" customFormat="1" x14ac:dyDescent="0.3">
      <c r="A452" s="666">
        <f t="shared" si="16"/>
        <v>427</v>
      </c>
      <c r="B452" s="669" t="s">
        <v>538</v>
      </c>
      <c r="C452" s="670" t="s">
        <v>539</v>
      </c>
      <c r="E452" s="642" t="str">
        <f t="shared" si="17"/>
        <v/>
      </c>
      <c r="H452" s="645" t="s">
        <v>723</v>
      </c>
    </row>
    <row r="453" spans="1:8" s="645" customFormat="1" ht="31.2" x14ac:dyDescent="0.3">
      <c r="A453" s="649">
        <f t="shared" si="16"/>
        <v>428</v>
      </c>
      <c r="B453" s="667" t="s">
        <v>2792</v>
      </c>
      <c r="C453" s="668" t="s">
        <v>2439</v>
      </c>
      <c r="E453" s="642" t="str">
        <f t="shared" si="17"/>
        <v/>
      </c>
      <c r="H453" s="645" t="s">
        <v>723</v>
      </c>
    </row>
    <row r="454" spans="1:8" s="645" customFormat="1" x14ac:dyDescent="0.3">
      <c r="A454" s="666">
        <f t="shared" si="16"/>
        <v>429</v>
      </c>
      <c r="B454" s="669" t="s">
        <v>2793</v>
      </c>
      <c r="C454" s="670" t="s">
        <v>2440</v>
      </c>
      <c r="E454" s="642" t="str">
        <f t="shared" si="17"/>
        <v/>
      </c>
      <c r="H454" s="645" t="s">
        <v>723</v>
      </c>
    </row>
    <row r="455" spans="1:8" s="645" customFormat="1" x14ac:dyDescent="0.3">
      <c r="A455" s="666">
        <f t="shared" si="16"/>
        <v>430</v>
      </c>
      <c r="B455" s="669" t="s">
        <v>2794</v>
      </c>
      <c r="C455" s="670" t="s">
        <v>2441</v>
      </c>
      <c r="E455" s="642" t="str">
        <f t="shared" si="17"/>
        <v/>
      </c>
      <c r="H455" s="645" t="s">
        <v>723</v>
      </c>
    </row>
    <row r="456" spans="1:8" s="645" customFormat="1" x14ac:dyDescent="0.3">
      <c r="A456" s="666">
        <f t="shared" si="16"/>
        <v>431</v>
      </c>
      <c r="B456" s="669" t="s">
        <v>2795</v>
      </c>
      <c r="C456" s="670" t="s">
        <v>541</v>
      </c>
      <c r="E456" s="642" t="str">
        <f t="shared" si="17"/>
        <v/>
      </c>
      <c r="H456" s="645" t="s">
        <v>723</v>
      </c>
    </row>
    <row r="457" spans="1:8" s="645" customFormat="1" x14ac:dyDescent="0.3">
      <c r="A457" s="666">
        <f t="shared" si="16"/>
        <v>432</v>
      </c>
      <c r="B457" s="669" t="s">
        <v>2796</v>
      </c>
      <c r="C457" s="670" t="s">
        <v>2442</v>
      </c>
      <c r="E457" s="642" t="str">
        <f t="shared" si="17"/>
        <v/>
      </c>
      <c r="H457" s="645" t="s">
        <v>723</v>
      </c>
    </row>
    <row r="458" spans="1:8" s="645" customFormat="1" x14ac:dyDescent="0.3">
      <c r="A458" s="666">
        <f t="shared" si="16"/>
        <v>433</v>
      </c>
      <c r="B458" s="669" t="s">
        <v>2797</v>
      </c>
      <c r="C458" s="670" t="s">
        <v>543</v>
      </c>
      <c r="E458" s="642" t="str">
        <f t="shared" si="17"/>
        <v/>
      </c>
      <c r="H458" s="645" t="s">
        <v>723</v>
      </c>
    </row>
    <row r="459" spans="1:8" s="645" customFormat="1" x14ac:dyDescent="0.3">
      <c r="A459" s="666">
        <f t="shared" si="16"/>
        <v>434</v>
      </c>
      <c r="B459" s="669" t="s">
        <v>2798</v>
      </c>
      <c r="C459" s="670" t="s">
        <v>545</v>
      </c>
      <c r="E459" s="642" t="str">
        <f t="shared" si="17"/>
        <v/>
      </c>
      <c r="H459" s="645" t="s">
        <v>723</v>
      </c>
    </row>
    <row r="460" spans="1:8" s="645" customFormat="1" x14ac:dyDescent="0.3">
      <c r="A460" s="666">
        <f t="shared" si="16"/>
        <v>435</v>
      </c>
      <c r="B460" s="669" t="s">
        <v>546</v>
      </c>
      <c r="C460" s="670" t="s">
        <v>547</v>
      </c>
      <c r="E460" s="642" t="str">
        <f t="shared" si="17"/>
        <v/>
      </c>
      <c r="H460" s="645" t="s">
        <v>723</v>
      </c>
    </row>
    <row r="461" spans="1:8" s="645" customFormat="1" x14ac:dyDescent="0.3">
      <c r="A461" s="666">
        <f t="shared" si="16"/>
        <v>436</v>
      </c>
      <c r="B461" s="669" t="s">
        <v>2799</v>
      </c>
      <c r="C461" s="670" t="s">
        <v>549</v>
      </c>
      <c r="E461" s="642" t="str">
        <f t="shared" si="17"/>
        <v/>
      </c>
      <c r="H461" s="645" t="s">
        <v>723</v>
      </c>
    </row>
    <row r="462" spans="1:8" s="645" customFormat="1" x14ac:dyDescent="0.3">
      <c r="A462" s="649">
        <f t="shared" si="16"/>
        <v>437</v>
      </c>
      <c r="B462" s="667" t="s">
        <v>2800</v>
      </c>
      <c r="C462" s="668" t="s">
        <v>2444</v>
      </c>
      <c r="E462" s="642" t="str">
        <f t="shared" si="17"/>
        <v/>
      </c>
      <c r="H462" s="645" t="s">
        <v>723</v>
      </c>
    </row>
    <row r="463" spans="1:8" s="645" customFormat="1" x14ac:dyDescent="0.3">
      <c r="A463" s="649">
        <f t="shared" si="16"/>
        <v>438</v>
      </c>
      <c r="B463" s="667" t="s">
        <v>2801</v>
      </c>
      <c r="C463" s="668" t="s">
        <v>2445</v>
      </c>
      <c r="E463" s="642" t="str">
        <f t="shared" si="17"/>
        <v/>
      </c>
      <c r="H463" s="645" t="s">
        <v>723</v>
      </c>
    </row>
    <row r="464" spans="1:8" s="645" customFormat="1" x14ac:dyDescent="0.3">
      <c r="A464" s="666">
        <f t="shared" si="16"/>
        <v>439</v>
      </c>
      <c r="B464" s="669" t="s">
        <v>550</v>
      </c>
      <c r="C464" s="670" t="s">
        <v>551</v>
      </c>
      <c r="E464" s="642" t="str">
        <f t="shared" si="17"/>
        <v/>
      </c>
      <c r="H464" s="645" t="s">
        <v>723</v>
      </c>
    </row>
    <row r="465" spans="1:11" s="645" customFormat="1" x14ac:dyDescent="0.3">
      <c r="A465" s="666">
        <f t="shared" si="16"/>
        <v>440</v>
      </c>
      <c r="B465" s="669" t="s">
        <v>2802</v>
      </c>
      <c r="C465" s="670" t="s">
        <v>553</v>
      </c>
      <c r="E465" s="642" t="str">
        <f t="shared" si="17"/>
        <v/>
      </c>
      <c r="H465" s="645" t="s">
        <v>723</v>
      </c>
    </row>
    <row r="466" spans="1:11" s="645" customFormat="1" x14ac:dyDescent="0.3">
      <c r="A466" s="666">
        <f t="shared" si="16"/>
        <v>441</v>
      </c>
      <c r="B466" s="669" t="s">
        <v>554</v>
      </c>
      <c r="C466" s="670" t="s">
        <v>555</v>
      </c>
      <c r="E466" s="642" t="str">
        <f t="shared" si="17"/>
        <v/>
      </c>
      <c r="H466" s="645" t="s">
        <v>723</v>
      </c>
    </row>
    <row r="467" spans="1:11" s="645" customFormat="1" x14ac:dyDescent="0.3">
      <c r="A467" s="666">
        <f t="shared" si="16"/>
        <v>442</v>
      </c>
      <c r="B467" s="669" t="s">
        <v>2803</v>
      </c>
      <c r="C467" s="670" t="s">
        <v>557</v>
      </c>
      <c r="E467" s="642" t="str">
        <f t="shared" si="17"/>
        <v/>
      </c>
      <c r="H467" s="645" t="s">
        <v>723</v>
      </c>
    </row>
    <row r="468" spans="1:11" s="645" customFormat="1" x14ac:dyDescent="0.3">
      <c r="A468" s="666">
        <f t="shared" si="16"/>
        <v>443</v>
      </c>
      <c r="B468" s="669" t="s">
        <v>2804</v>
      </c>
      <c r="C468" s="670" t="s">
        <v>559</v>
      </c>
      <c r="E468" s="642" t="str">
        <f t="shared" si="17"/>
        <v/>
      </c>
      <c r="H468" s="645" t="s">
        <v>723</v>
      </c>
    </row>
    <row r="469" spans="1:11" s="645" customFormat="1" x14ac:dyDescent="0.3">
      <c r="A469" s="666">
        <f t="shared" si="16"/>
        <v>444</v>
      </c>
      <c r="B469" s="669" t="s">
        <v>560</v>
      </c>
      <c r="C469" s="670" t="s">
        <v>561</v>
      </c>
      <c r="E469" s="642" t="str">
        <f t="shared" si="17"/>
        <v/>
      </c>
      <c r="H469" s="645" t="s">
        <v>723</v>
      </c>
    </row>
    <row r="470" spans="1:11" s="645" customFormat="1" x14ac:dyDescent="0.3">
      <c r="A470" s="666">
        <f t="shared" si="16"/>
        <v>445</v>
      </c>
      <c r="B470" s="669" t="s">
        <v>1289</v>
      </c>
      <c r="C470" s="670" t="s">
        <v>2446</v>
      </c>
      <c r="E470" s="642" t="str">
        <f t="shared" si="17"/>
        <v/>
      </c>
      <c r="H470" s="645" t="s">
        <v>723</v>
      </c>
    </row>
    <row r="471" spans="1:11" s="645" customFormat="1" x14ac:dyDescent="0.3">
      <c r="A471" s="666">
        <f t="shared" si="16"/>
        <v>446</v>
      </c>
      <c r="B471" s="669" t="s">
        <v>562</v>
      </c>
      <c r="C471" s="670" t="s">
        <v>563</v>
      </c>
      <c r="E471" s="642" t="str">
        <f t="shared" si="17"/>
        <v/>
      </c>
      <c r="H471" s="645" t="s">
        <v>723</v>
      </c>
    </row>
    <row r="472" spans="1:11" s="645" customFormat="1" x14ac:dyDescent="0.3">
      <c r="A472" s="666">
        <f t="shared" si="16"/>
        <v>447</v>
      </c>
      <c r="B472" s="669" t="s">
        <v>564</v>
      </c>
      <c r="C472" s="670" t="s">
        <v>565</v>
      </c>
      <c r="E472" s="642" t="str">
        <f t="shared" si="17"/>
        <v/>
      </c>
      <c r="H472" s="645" t="s">
        <v>723</v>
      </c>
    </row>
    <row r="473" spans="1:11" s="645" customFormat="1" x14ac:dyDescent="0.3">
      <c r="A473" s="649">
        <f t="shared" si="16"/>
        <v>448</v>
      </c>
      <c r="B473" s="667" t="s">
        <v>2805</v>
      </c>
      <c r="C473" s="668" t="s">
        <v>2448</v>
      </c>
      <c r="E473" s="642" t="str">
        <f t="shared" si="17"/>
        <v/>
      </c>
      <c r="H473" s="645" t="s">
        <v>723</v>
      </c>
    </row>
    <row r="474" spans="1:11" s="645" customFormat="1" x14ac:dyDescent="0.3">
      <c r="A474" s="649">
        <f t="shared" si="16"/>
        <v>449</v>
      </c>
      <c r="B474" s="667" t="s">
        <v>2806</v>
      </c>
      <c r="C474" s="668" t="s">
        <v>2450</v>
      </c>
      <c r="E474" s="642" t="str">
        <f t="shared" si="17"/>
        <v/>
      </c>
      <c r="H474" s="645" t="s">
        <v>723</v>
      </c>
    </row>
    <row r="475" spans="1:11" s="645" customFormat="1" x14ac:dyDescent="0.3">
      <c r="A475" s="666">
        <f t="shared" si="16"/>
        <v>450</v>
      </c>
      <c r="B475" s="669" t="s">
        <v>566</v>
      </c>
      <c r="C475" s="670" t="s">
        <v>567</v>
      </c>
      <c r="E475" s="642" t="str">
        <f t="shared" si="17"/>
        <v/>
      </c>
      <c r="H475" s="642" t="s">
        <v>723</v>
      </c>
      <c r="I475" s="642"/>
    </row>
    <row r="476" spans="1:11" s="645" customFormat="1" x14ac:dyDescent="0.3">
      <c r="A476" s="666">
        <f t="shared" si="16"/>
        <v>451</v>
      </c>
      <c r="B476" s="669" t="s">
        <v>568</v>
      </c>
      <c r="C476" s="670" t="s">
        <v>569</v>
      </c>
      <c r="E476" s="642" t="str">
        <f t="shared" si="17"/>
        <v/>
      </c>
      <c r="H476" s="645" t="s">
        <v>3007</v>
      </c>
      <c r="I476" s="645">
        <v>38</v>
      </c>
      <c r="K476" s="645" t="str">
        <f>H476&amp;" ("&amp;I476&amp;")"</f>
        <v>Compatibility (38)</v>
      </c>
    </row>
    <row r="477" spans="1:11" s="645" customFormat="1" x14ac:dyDescent="0.3">
      <c r="A477" s="648"/>
      <c r="B477" s="672"/>
      <c r="C477" s="647"/>
      <c r="E477" s="642" t="str">
        <f t="shared" si="17"/>
        <v/>
      </c>
      <c r="H477" s="645" t="s">
        <v>2478</v>
      </c>
      <c r="I477" s="645">
        <v>7</v>
      </c>
      <c r="K477" s="645" t="str">
        <f t="shared" ref="K477:K489" si="18">H477&amp;" ("&amp;I477&amp;")"</f>
        <v>Cubes (7)</v>
      </c>
    </row>
    <row r="478" spans="1:11" s="645" customFormat="1" x14ac:dyDescent="0.3">
      <c r="A478" s="673" t="s">
        <v>2807</v>
      </c>
      <c r="B478" s="672"/>
      <c r="C478" s="647"/>
      <c r="E478" s="642" t="str">
        <f t="shared" si="17"/>
        <v>User defineds that are installed with add-ins</v>
      </c>
      <c r="F478" s="645">
        <v>4</v>
      </c>
      <c r="H478" s="645" t="s">
        <v>2486</v>
      </c>
      <c r="I478" s="645">
        <v>12</v>
      </c>
      <c r="K478" s="645" t="str">
        <f t="shared" si="18"/>
        <v>Databases (12)</v>
      </c>
    </row>
    <row r="479" spans="1:11" s="645" customFormat="1" x14ac:dyDescent="0.3">
      <c r="A479" s="649">
        <f>A476+1</f>
        <v>452</v>
      </c>
      <c r="B479" s="667" t="s">
        <v>2808</v>
      </c>
      <c r="C479" s="668" t="s">
        <v>2451</v>
      </c>
      <c r="E479" s="642" t="str">
        <f t="shared" si="17"/>
        <v/>
      </c>
      <c r="H479" s="645" t="s">
        <v>2487</v>
      </c>
      <c r="I479" s="645">
        <v>24</v>
      </c>
      <c r="K479" s="645" t="str">
        <f t="shared" si="18"/>
        <v>Date and times (24)</v>
      </c>
    </row>
    <row r="480" spans="1:11" s="645" customFormat="1" ht="31.2" x14ac:dyDescent="0.3">
      <c r="A480" s="649">
        <f>A479+1</f>
        <v>453</v>
      </c>
      <c r="B480" s="667" t="s">
        <v>2809</v>
      </c>
      <c r="C480" s="668" t="s">
        <v>2452</v>
      </c>
      <c r="E480" s="642" t="str">
        <f t="shared" si="17"/>
        <v/>
      </c>
      <c r="H480" s="645" t="s">
        <v>2493</v>
      </c>
      <c r="I480" s="645">
        <v>54</v>
      </c>
      <c r="K480" s="645" t="str">
        <f t="shared" si="18"/>
        <v>Engineerings (54)</v>
      </c>
    </row>
    <row r="481" spans="1:11" s="645" customFormat="1" ht="31.2" x14ac:dyDescent="0.3">
      <c r="A481" s="649">
        <f>A480+1</f>
        <v>454</v>
      </c>
      <c r="B481" s="667" t="s">
        <v>2810</v>
      </c>
      <c r="C481" s="668" t="s">
        <v>2453</v>
      </c>
      <c r="E481" s="642" t="str">
        <f t="shared" si="17"/>
        <v/>
      </c>
      <c r="H481" s="645" t="s">
        <v>2555</v>
      </c>
      <c r="I481" s="645">
        <v>55</v>
      </c>
      <c r="K481" s="645" t="str">
        <f t="shared" si="18"/>
        <v>Financials (55)</v>
      </c>
    </row>
    <row r="482" spans="1:11" s="645" customFormat="1" ht="31.2" x14ac:dyDescent="0.3">
      <c r="A482" s="649">
        <f>A481+1</f>
        <v>455</v>
      </c>
      <c r="B482" s="667" t="s">
        <v>2811</v>
      </c>
      <c r="C482" s="668" t="s">
        <v>2454</v>
      </c>
      <c r="E482" s="642" t="str">
        <f t="shared" si="17"/>
        <v/>
      </c>
      <c r="H482" s="645" t="s">
        <v>2603</v>
      </c>
      <c r="I482" s="645">
        <v>20</v>
      </c>
      <c r="K482" s="645" t="str">
        <f t="shared" si="18"/>
        <v>Informations (20)</v>
      </c>
    </row>
    <row r="483" spans="1:11" s="645" customFormat="1" x14ac:dyDescent="0.3">
      <c r="A483" s="648"/>
      <c r="B483" s="646"/>
      <c r="C483" s="647"/>
      <c r="E483" s="642" t="str">
        <f t="shared" si="17"/>
        <v/>
      </c>
      <c r="H483" s="645" t="s">
        <v>2616</v>
      </c>
      <c r="I483" s="645">
        <v>9</v>
      </c>
      <c r="K483" s="645" t="str">
        <f t="shared" si="18"/>
        <v>Logicals (9)</v>
      </c>
    </row>
    <row r="484" spans="1:11" s="645" customFormat="1" x14ac:dyDescent="0.3">
      <c r="A484" s="673" t="s">
        <v>2812</v>
      </c>
      <c r="C484" s="647"/>
      <c r="E484" s="642" t="str">
        <f t="shared" si="17"/>
        <v>Webs</v>
      </c>
      <c r="F484" s="645">
        <v>3</v>
      </c>
      <c r="H484" s="645" t="s">
        <v>2619</v>
      </c>
      <c r="I484" s="645">
        <v>19</v>
      </c>
      <c r="K484" s="645" t="str">
        <f t="shared" si="18"/>
        <v>Lookup and references (19)</v>
      </c>
    </row>
    <row r="485" spans="1:11" s="645" customFormat="1" x14ac:dyDescent="0.3">
      <c r="A485" s="649">
        <f>A479+1</f>
        <v>453</v>
      </c>
      <c r="B485" s="667" t="s">
        <v>2813</v>
      </c>
      <c r="C485" s="668" t="s">
        <v>2456</v>
      </c>
      <c r="E485" s="642" t="str">
        <f t="shared" si="17"/>
        <v/>
      </c>
      <c r="H485" s="645" t="s">
        <v>2631</v>
      </c>
      <c r="I485" s="645">
        <v>79</v>
      </c>
      <c r="K485" s="645" t="str">
        <f t="shared" si="18"/>
        <v>Math and trigonometrys (79)</v>
      </c>
    </row>
    <row r="486" spans="1:11" s="645" customFormat="1" x14ac:dyDescent="0.3">
      <c r="A486" s="649">
        <f>A485+1</f>
        <v>454</v>
      </c>
      <c r="B486" s="667" t="s">
        <v>2814</v>
      </c>
      <c r="C486" s="668" t="s">
        <v>2458</v>
      </c>
      <c r="E486" s="642" t="str">
        <f t="shared" si="17"/>
        <v/>
      </c>
      <c r="H486" s="645" t="s">
        <v>2701</v>
      </c>
      <c r="I486" s="645">
        <v>101</v>
      </c>
      <c r="K486" s="645" t="str">
        <f t="shared" si="18"/>
        <v>Statisticals (101)</v>
      </c>
    </row>
    <row r="487" spans="1:11" s="645" customFormat="1" x14ac:dyDescent="0.3">
      <c r="A487" s="649">
        <f>A486+1</f>
        <v>455</v>
      </c>
      <c r="B487" s="667" t="s">
        <v>2815</v>
      </c>
      <c r="C487" s="650"/>
      <c r="E487" s="642" t="str">
        <f t="shared" si="17"/>
        <v/>
      </c>
      <c r="H487" s="645" t="s">
        <v>2787</v>
      </c>
      <c r="I487" s="645">
        <v>30</v>
      </c>
      <c r="K487" s="645" t="str">
        <f t="shared" si="18"/>
        <v>Texts (30)</v>
      </c>
    </row>
    <row r="488" spans="1:11" s="645" customFormat="1" x14ac:dyDescent="0.3">
      <c r="A488" s="673"/>
      <c r="C488" s="647"/>
      <c r="H488" s="645" t="s">
        <v>2807</v>
      </c>
      <c r="I488" s="645">
        <v>4</v>
      </c>
      <c r="K488" s="645" t="str">
        <f t="shared" si="18"/>
        <v>User defineds that are installed with add-ins (4)</v>
      </c>
    </row>
    <row r="489" spans="1:11" x14ac:dyDescent="0.3">
      <c r="D489" s="642"/>
      <c r="F489" s="642">
        <f>SUM(F1:F488)</f>
        <v>458</v>
      </c>
      <c r="H489" s="645" t="s">
        <v>2812</v>
      </c>
      <c r="I489" s="645">
        <v>3</v>
      </c>
      <c r="K489" s="645" t="str">
        <f t="shared" si="18"/>
        <v>Webs (3)</v>
      </c>
    </row>
    <row r="490" spans="1:11" x14ac:dyDescent="0.3">
      <c r="D490" s="642"/>
    </row>
    <row r="491" spans="1:11" x14ac:dyDescent="0.3">
      <c r="D491" s="642"/>
      <c r="I491" s="642">
        <f>SUM(I476:I489)</f>
        <v>455</v>
      </c>
    </row>
    <row r="492" spans="1:11" x14ac:dyDescent="0.3">
      <c r="D492" s="642"/>
    </row>
    <row r="493" spans="1:11" x14ac:dyDescent="0.3">
      <c r="D493" s="642"/>
    </row>
    <row r="494" spans="1:11" x14ac:dyDescent="0.3">
      <c r="D494" s="642"/>
    </row>
    <row r="495" spans="1:11" x14ac:dyDescent="0.3">
      <c r="D495" s="642"/>
    </row>
    <row r="496" spans="1:11" x14ac:dyDescent="0.3">
      <c r="D496" s="642"/>
    </row>
    <row r="497" spans="4:4" x14ac:dyDescent="0.3">
      <c r="D497" s="642"/>
    </row>
    <row r="498" spans="4:4" x14ac:dyDescent="0.3">
      <c r="D498" s="642"/>
    </row>
    <row r="499" spans="4:4" x14ac:dyDescent="0.3">
      <c r="D499" s="642"/>
    </row>
    <row r="500" spans="4:4" x14ac:dyDescent="0.3">
      <c r="D500" s="642"/>
    </row>
    <row r="501" spans="4:4" x14ac:dyDescent="0.3">
      <c r="D501" s="642"/>
    </row>
    <row r="502" spans="4:4" x14ac:dyDescent="0.3">
      <c r="D502" s="642"/>
    </row>
    <row r="503" spans="4:4" x14ac:dyDescent="0.3">
      <c r="D503" s="642"/>
    </row>
    <row r="504" spans="4:4" x14ac:dyDescent="0.3">
      <c r="D504" s="642"/>
    </row>
    <row r="505" spans="4:4" x14ac:dyDescent="0.3">
      <c r="D505" s="642"/>
    </row>
    <row r="506" spans="4:4" x14ac:dyDescent="0.3">
      <c r="D506" s="642"/>
    </row>
    <row r="507" spans="4:4" x14ac:dyDescent="0.3">
      <c r="D507" s="642"/>
    </row>
    <row r="508" spans="4:4" x14ac:dyDescent="0.3">
      <c r="D508" s="642"/>
    </row>
    <row r="509" spans="4:4" x14ac:dyDescent="0.3">
      <c r="D509" s="642"/>
    </row>
    <row r="510" spans="4:4" x14ac:dyDescent="0.3">
      <c r="D510" s="642"/>
    </row>
    <row r="511" spans="4:4" x14ac:dyDescent="0.3">
      <c r="D511" s="642"/>
    </row>
    <row r="512" spans="4:4" x14ac:dyDescent="0.3">
      <c r="D512" s="642"/>
    </row>
    <row r="513" spans="4:4" x14ac:dyDescent="0.3">
      <c r="D513" s="642"/>
    </row>
    <row r="514" spans="4:4" x14ac:dyDescent="0.3">
      <c r="D514" s="642"/>
    </row>
    <row r="515" spans="4:4" x14ac:dyDescent="0.3">
      <c r="D515" s="642"/>
    </row>
    <row r="516" spans="4:4" x14ac:dyDescent="0.3">
      <c r="D516" s="642"/>
    </row>
    <row r="517" spans="4:4" x14ac:dyDescent="0.3">
      <c r="D517" s="642"/>
    </row>
    <row r="518" spans="4:4" x14ac:dyDescent="0.3">
      <c r="D518" s="642"/>
    </row>
    <row r="519" spans="4:4" x14ac:dyDescent="0.3">
      <c r="D519" s="642"/>
    </row>
    <row r="520" spans="4:4" x14ac:dyDescent="0.3">
      <c r="D520" s="642"/>
    </row>
    <row r="521" spans="4:4" x14ac:dyDescent="0.3">
      <c r="D521" s="642"/>
    </row>
    <row r="522" spans="4:4" x14ac:dyDescent="0.3">
      <c r="D522" s="642"/>
    </row>
    <row r="523" spans="4:4" x14ac:dyDescent="0.3">
      <c r="D523" s="642"/>
    </row>
    <row r="524" spans="4:4" x14ac:dyDescent="0.3">
      <c r="D524" s="642"/>
    </row>
    <row r="525" spans="4:4" x14ac:dyDescent="0.3">
      <c r="D525" s="642"/>
    </row>
    <row r="526" spans="4:4" x14ac:dyDescent="0.3">
      <c r="D526" s="642"/>
    </row>
    <row r="527" spans="4:4" x14ac:dyDescent="0.3">
      <c r="D527" s="642"/>
    </row>
    <row r="528" spans="4:4" x14ac:dyDescent="0.3">
      <c r="D528" s="642"/>
    </row>
    <row r="529" spans="4:4" x14ac:dyDescent="0.3">
      <c r="D529" s="642"/>
    </row>
    <row r="530" spans="4:4" x14ac:dyDescent="0.3">
      <c r="D530" s="642"/>
    </row>
    <row r="531" spans="4:4" x14ac:dyDescent="0.3">
      <c r="D531" s="642"/>
    </row>
    <row r="532" spans="4:4" x14ac:dyDescent="0.3">
      <c r="D532" s="642"/>
    </row>
    <row r="533" spans="4:4" x14ac:dyDescent="0.3">
      <c r="D533" s="642"/>
    </row>
    <row r="534" spans="4:4" x14ac:dyDescent="0.3">
      <c r="D534" s="642"/>
    </row>
    <row r="535" spans="4:4" x14ac:dyDescent="0.3">
      <c r="D535" s="642"/>
    </row>
    <row r="536" spans="4:4" x14ac:dyDescent="0.3">
      <c r="D536" s="642"/>
    </row>
    <row r="537" spans="4:4" x14ac:dyDescent="0.3">
      <c r="D537" s="642"/>
    </row>
    <row r="538" spans="4:4" x14ac:dyDescent="0.3">
      <c r="D538" s="642"/>
    </row>
    <row r="539" spans="4:4" x14ac:dyDescent="0.3">
      <c r="D539" s="642"/>
    </row>
    <row r="540" spans="4:4" x14ac:dyDescent="0.3">
      <c r="D540" s="642"/>
    </row>
    <row r="541" spans="4:4" x14ac:dyDescent="0.3">
      <c r="D541" s="642"/>
    </row>
    <row r="542" spans="4:4" x14ac:dyDescent="0.3">
      <c r="D542" s="642"/>
    </row>
    <row r="543" spans="4:4" x14ac:dyDescent="0.3">
      <c r="D543" s="642"/>
    </row>
    <row r="544" spans="4:4" x14ac:dyDescent="0.3">
      <c r="D544" s="642"/>
    </row>
    <row r="545" spans="4:4" x14ac:dyDescent="0.3">
      <c r="D545" s="642"/>
    </row>
    <row r="546" spans="4:4" x14ac:dyDescent="0.3">
      <c r="D546" s="642"/>
    </row>
    <row r="547" spans="4:4" x14ac:dyDescent="0.3">
      <c r="D547" s="642"/>
    </row>
    <row r="548" spans="4:4" x14ac:dyDescent="0.3">
      <c r="D548" s="642"/>
    </row>
    <row r="549" spans="4:4" x14ac:dyDescent="0.3">
      <c r="D549" s="642"/>
    </row>
    <row r="550" spans="4:4" x14ac:dyDescent="0.3">
      <c r="D550" s="642"/>
    </row>
    <row r="551" spans="4:4" x14ac:dyDescent="0.3">
      <c r="D551" s="642"/>
    </row>
    <row r="552" spans="4:4" x14ac:dyDescent="0.3">
      <c r="D552" s="642"/>
    </row>
    <row r="553" spans="4:4" x14ac:dyDescent="0.3">
      <c r="D553" s="642"/>
    </row>
    <row r="554" spans="4:4" x14ac:dyDescent="0.3">
      <c r="D554" s="642"/>
    </row>
    <row r="555" spans="4:4" x14ac:dyDescent="0.3">
      <c r="D555" s="642"/>
    </row>
    <row r="556" spans="4:4" x14ac:dyDescent="0.3">
      <c r="D556" s="642"/>
    </row>
    <row r="557" spans="4:4" x14ac:dyDescent="0.3">
      <c r="D557" s="642"/>
    </row>
    <row r="558" spans="4:4" x14ac:dyDescent="0.3">
      <c r="D558" s="642"/>
    </row>
    <row r="559" spans="4:4" x14ac:dyDescent="0.3">
      <c r="D559" s="642"/>
    </row>
    <row r="560" spans="4:4" x14ac:dyDescent="0.3">
      <c r="D560" s="642"/>
    </row>
    <row r="561" spans="4:4" x14ac:dyDescent="0.3">
      <c r="D561" s="642"/>
    </row>
    <row r="562" spans="4:4" x14ac:dyDescent="0.3">
      <c r="D562" s="642"/>
    </row>
    <row r="563" spans="4:4" x14ac:dyDescent="0.3">
      <c r="D563" s="642"/>
    </row>
    <row r="564" spans="4:4" x14ac:dyDescent="0.3">
      <c r="D564" s="642"/>
    </row>
    <row r="565" spans="4:4" x14ac:dyDescent="0.3">
      <c r="D565" s="642"/>
    </row>
    <row r="566" spans="4:4" x14ac:dyDescent="0.3">
      <c r="D566" s="642"/>
    </row>
    <row r="567" spans="4:4" x14ac:dyDescent="0.3">
      <c r="D567" s="642"/>
    </row>
    <row r="568" spans="4:4" x14ac:dyDescent="0.3">
      <c r="D568" s="642"/>
    </row>
    <row r="569" spans="4:4" x14ac:dyDescent="0.3">
      <c r="D569" s="642"/>
    </row>
    <row r="570" spans="4:4" x14ac:dyDescent="0.3">
      <c r="D570" s="642"/>
    </row>
    <row r="571" spans="4:4" x14ac:dyDescent="0.3">
      <c r="D571" s="642"/>
    </row>
    <row r="572" spans="4:4" x14ac:dyDescent="0.3">
      <c r="D572" s="642"/>
    </row>
    <row r="573" spans="4:4" x14ac:dyDescent="0.3">
      <c r="D573" s="642"/>
    </row>
    <row r="574" spans="4:4" x14ac:dyDescent="0.3">
      <c r="D574" s="642"/>
    </row>
    <row r="575" spans="4:4" x14ac:dyDescent="0.3">
      <c r="D575" s="642"/>
    </row>
    <row r="576" spans="4:4" x14ac:dyDescent="0.3">
      <c r="D576" s="642"/>
    </row>
    <row r="577" spans="4:4" x14ac:dyDescent="0.3">
      <c r="D577" s="642"/>
    </row>
    <row r="578" spans="4:4" x14ac:dyDescent="0.3">
      <c r="D578" s="642"/>
    </row>
    <row r="579" spans="4:4" x14ac:dyDescent="0.3">
      <c r="D579" s="642"/>
    </row>
    <row r="580" spans="4:4" x14ac:dyDescent="0.3">
      <c r="D580" s="642"/>
    </row>
    <row r="581" spans="4:4" x14ac:dyDescent="0.3">
      <c r="D581" s="642"/>
    </row>
    <row r="582" spans="4:4" x14ac:dyDescent="0.3">
      <c r="D582" s="642"/>
    </row>
    <row r="583" spans="4:4" x14ac:dyDescent="0.3">
      <c r="D583" s="642"/>
    </row>
    <row r="584" spans="4:4" x14ac:dyDescent="0.3">
      <c r="D584" s="642"/>
    </row>
    <row r="585" spans="4:4" x14ac:dyDescent="0.3">
      <c r="D585" s="642"/>
    </row>
    <row r="586" spans="4:4" x14ac:dyDescent="0.3">
      <c r="D586" s="642"/>
    </row>
    <row r="587" spans="4:4" x14ac:dyDescent="0.3">
      <c r="D587" s="642"/>
    </row>
    <row r="588" spans="4:4" x14ac:dyDescent="0.3">
      <c r="D588" s="642"/>
    </row>
    <row r="589" spans="4:4" x14ac:dyDescent="0.3">
      <c r="D589" s="642"/>
    </row>
    <row r="590" spans="4:4" x14ac:dyDescent="0.3">
      <c r="D590" s="642"/>
    </row>
    <row r="591" spans="4:4" x14ac:dyDescent="0.3">
      <c r="D591" s="642"/>
    </row>
    <row r="592" spans="4:4" x14ac:dyDescent="0.3">
      <c r="D592" s="642"/>
    </row>
    <row r="593" spans="4:4" x14ac:dyDescent="0.3">
      <c r="D593" s="642"/>
    </row>
    <row r="594" spans="4:4" x14ac:dyDescent="0.3">
      <c r="D594" s="642"/>
    </row>
    <row r="595" spans="4:4" x14ac:dyDescent="0.3">
      <c r="D595" s="642"/>
    </row>
    <row r="596" spans="4:4" x14ac:dyDescent="0.3">
      <c r="D596" s="642"/>
    </row>
    <row r="597" spans="4:4" x14ac:dyDescent="0.3">
      <c r="D597" s="642"/>
    </row>
    <row r="598" spans="4:4" x14ac:dyDescent="0.3">
      <c r="D598" s="642"/>
    </row>
    <row r="599" spans="4:4" x14ac:dyDescent="0.3">
      <c r="D599" s="642"/>
    </row>
    <row r="600" spans="4:4" x14ac:dyDescent="0.3">
      <c r="D600" s="642"/>
    </row>
    <row r="601" spans="4:4" x14ac:dyDescent="0.3">
      <c r="D601" s="642"/>
    </row>
    <row r="602" spans="4:4" x14ac:dyDescent="0.3">
      <c r="D602" s="642"/>
    </row>
    <row r="603" spans="4:4" x14ac:dyDescent="0.3">
      <c r="D603" s="642"/>
    </row>
    <row r="604" spans="4:4" x14ac:dyDescent="0.3">
      <c r="D604" s="642"/>
    </row>
    <row r="605" spans="4:4" x14ac:dyDescent="0.3">
      <c r="D605" s="642"/>
    </row>
    <row r="606" spans="4:4" x14ac:dyDescent="0.3">
      <c r="D606" s="642"/>
    </row>
    <row r="607" spans="4:4" x14ac:dyDescent="0.3">
      <c r="D607" s="642"/>
    </row>
    <row r="608" spans="4:4" x14ac:dyDescent="0.3">
      <c r="D608" s="642"/>
    </row>
    <row r="609" spans="4:4" x14ac:dyDescent="0.3">
      <c r="D609" s="642"/>
    </row>
    <row r="610" spans="4:4" x14ac:dyDescent="0.3">
      <c r="D610" s="642"/>
    </row>
    <row r="611" spans="4:4" x14ac:dyDescent="0.3">
      <c r="D611" s="642"/>
    </row>
    <row r="612" spans="4:4" x14ac:dyDescent="0.3">
      <c r="D612" s="642"/>
    </row>
    <row r="613" spans="4:4" x14ac:dyDescent="0.3">
      <c r="D613" s="642"/>
    </row>
    <row r="614" spans="4:4" x14ac:dyDescent="0.3">
      <c r="D614" s="642"/>
    </row>
    <row r="615" spans="4:4" x14ac:dyDescent="0.3">
      <c r="D615" s="642"/>
    </row>
    <row r="616" spans="4:4" x14ac:dyDescent="0.3">
      <c r="D616" s="642"/>
    </row>
    <row r="617" spans="4:4" x14ac:dyDescent="0.3">
      <c r="D617" s="642"/>
    </row>
    <row r="618" spans="4:4" x14ac:dyDescent="0.3">
      <c r="D618" s="642"/>
    </row>
    <row r="619" spans="4:4" x14ac:dyDescent="0.3">
      <c r="D619" s="642"/>
    </row>
    <row r="620" spans="4:4" x14ac:dyDescent="0.3">
      <c r="D620" s="642"/>
    </row>
    <row r="621" spans="4:4" x14ac:dyDescent="0.3">
      <c r="D621" s="642"/>
    </row>
    <row r="622" spans="4:4" x14ac:dyDescent="0.3">
      <c r="D622" s="642"/>
    </row>
    <row r="623" spans="4:4" x14ac:dyDescent="0.3">
      <c r="D623" s="642"/>
    </row>
    <row r="624" spans="4:4" x14ac:dyDescent="0.3">
      <c r="D624" s="642"/>
    </row>
    <row r="625" spans="4:4" x14ac:dyDescent="0.3">
      <c r="D625" s="642"/>
    </row>
    <row r="626" spans="4:4" x14ac:dyDescent="0.3">
      <c r="D626" s="642"/>
    </row>
    <row r="627" spans="4:4" x14ac:dyDescent="0.3">
      <c r="D627" s="642"/>
    </row>
    <row r="628" spans="4:4" x14ac:dyDescent="0.3">
      <c r="D628" s="642"/>
    </row>
    <row r="629" spans="4:4" x14ac:dyDescent="0.3">
      <c r="D629" s="642"/>
    </row>
    <row r="630" spans="4:4" x14ac:dyDescent="0.3">
      <c r="D630" s="642"/>
    </row>
    <row r="631" spans="4:4" x14ac:dyDescent="0.3">
      <c r="D631" s="642"/>
    </row>
    <row r="632" spans="4:4" x14ac:dyDescent="0.3">
      <c r="D632" s="642"/>
    </row>
    <row r="633" spans="4:4" x14ac:dyDescent="0.3">
      <c r="D633" s="642"/>
    </row>
    <row r="634" spans="4:4" x14ac:dyDescent="0.3">
      <c r="D634" s="642"/>
    </row>
    <row r="635" spans="4:4" x14ac:dyDescent="0.3">
      <c r="D635" s="642"/>
    </row>
    <row r="636" spans="4:4" x14ac:dyDescent="0.3">
      <c r="D636" s="642"/>
    </row>
    <row r="637" spans="4:4" x14ac:dyDescent="0.3">
      <c r="D637" s="642"/>
    </row>
    <row r="638" spans="4:4" x14ac:dyDescent="0.3">
      <c r="D638" s="642"/>
    </row>
    <row r="639" spans="4:4" x14ac:dyDescent="0.3">
      <c r="D639" s="642"/>
    </row>
    <row r="640" spans="4:4" x14ac:dyDescent="0.3">
      <c r="D640" s="642"/>
    </row>
    <row r="641" spans="4:4" x14ac:dyDescent="0.3">
      <c r="D641" s="642"/>
    </row>
    <row r="642" spans="4:4" x14ac:dyDescent="0.3">
      <c r="D642" s="642"/>
    </row>
    <row r="643" spans="4:4" x14ac:dyDescent="0.3">
      <c r="D643" s="642"/>
    </row>
    <row r="644" spans="4:4" x14ac:dyDescent="0.3">
      <c r="D644" s="642"/>
    </row>
    <row r="645" spans="4:4" x14ac:dyDescent="0.3">
      <c r="D645" s="642"/>
    </row>
    <row r="646" spans="4:4" x14ac:dyDescent="0.3">
      <c r="D646" s="642"/>
    </row>
    <row r="647" spans="4:4" x14ac:dyDescent="0.3">
      <c r="D647" s="642"/>
    </row>
    <row r="648" spans="4:4" x14ac:dyDescent="0.3">
      <c r="D648" s="642"/>
    </row>
    <row r="649" spans="4:4" x14ac:dyDescent="0.3">
      <c r="D649" s="642"/>
    </row>
    <row r="650" spans="4:4" x14ac:dyDescent="0.3">
      <c r="D650" s="642"/>
    </row>
    <row r="651" spans="4:4" x14ac:dyDescent="0.3">
      <c r="D651" s="642"/>
    </row>
    <row r="652" spans="4:4" x14ac:dyDescent="0.3">
      <c r="D652" s="642"/>
    </row>
    <row r="653" spans="4:4" x14ac:dyDescent="0.3">
      <c r="D653" s="642"/>
    </row>
    <row r="654" spans="4:4" x14ac:dyDescent="0.3">
      <c r="D654" s="642"/>
    </row>
    <row r="655" spans="4:4" x14ac:dyDescent="0.3">
      <c r="D655" s="642"/>
    </row>
    <row r="656" spans="4:4" x14ac:dyDescent="0.3">
      <c r="D656" s="642"/>
    </row>
    <row r="657" spans="4:4" x14ac:dyDescent="0.3">
      <c r="D657" s="642"/>
    </row>
    <row r="658" spans="4:4" x14ac:dyDescent="0.3">
      <c r="D658" s="642"/>
    </row>
    <row r="659" spans="4:4" x14ac:dyDescent="0.3">
      <c r="D659" s="642"/>
    </row>
    <row r="660" spans="4:4" x14ac:dyDescent="0.3">
      <c r="D660" s="642"/>
    </row>
    <row r="661" spans="4:4" x14ac:dyDescent="0.3">
      <c r="D661" s="642"/>
    </row>
    <row r="662" spans="4:4" x14ac:dyDescent="0.3">
      <c r="D662" s="642"/>
    </row>
    <row r="663" spans="4:4" x14ac:dyDescent="0.3">
      <c r="D663" s="642"/>
    </row>
    <row r="664" spans="4:4" x14ac:dyDescent="0.3">
      <c r="D664" s="642"/>
    </row>
    <row r="665" spans="4:4" x14ac:dyDescent="0.3">
      <c r="D665" s="642"/>
    </row>
    <row r="666" spans="4:4" x14ac:dyDescent="0.3">
      <c r="D666" s="642"/>
    </row>
    <row r="667" spans="4:4" x14ac:dyDescent="0.3">
      <c r="D667" s="642"/>
    </row>
    <row r="668" spans="4:4" x14ac:dyDescent="0.3">
      <c r="D668" s="642"/>
    </row>
    <row r="669" spans="4:4" x14ac:dyDescent="0.3">
      <c r="D669" s="642"/>
    </row>
    <row r="670" spans="4:4" x14ac:dyDescent="0.3">
      <c r="D670" s="642"/>
    </row>
    <row r="671" spans="4:4" x14ac:dyDescent="0.3">
      <c r="D671" s="642"/>
    </row>
    <row r="672" spans="4:4" x14ac:dyDescent="0.3">
      <c r="D672" s="642"/>
    </row>
    <row r="673" spans="4:13" x14ac:dyDescent="0.3">
      <c r="D673" s="642"/>
    </row>
    <row r="674" spans="4:13" x14ac:dyDescent="0.3">
      <c r="D674" s="642"/>
    </row>
    <row r="675" spans="4:13" x14ac:dyDescent="0.3">
      <c r="D675" s="642"/>
    </row>
    <row r="676" spans="4:13" x14ac:dyDescent="0.3">
      <c r="D676" s="642"/>
    </row>
    <row r="677" spans="4:13" x14ac:dyDescent="0.3">
      <c r="D677" s="642"/>
    </row>
    <row r="678" spans="4:13" x14ac:dyDescent="0.3">
      <c r="D678" s="642"/>
    </row>
    <row r="679" spans="4:13" x14ac:dyDescent="0.3">
      <c r="D679" s="642"/>
    </row>
    <row r="680" spans="4:13" x14ac:dyDescent="0.3">
      <c r="D680" s="642"/>
    </row>
    <row r="681" spans="4:13" x14ac:dyDescent="0.3">
      <c r="D681" s="642"/>
    </row>
    <row r="682" spans="4:13" x14ac:dyDescent="0.3">
      <c r="D682" s="642"/>
    </row>
    <row r="683" spans="4:13" x14ac:dyDescent="0.3">
      <c r="D683" s="642"/>
    </row>
    <row r="684" spans="4:13" x14ac:dyDescent="0.3">
      <c r="D684" s="642"/>
    </row>
    <row r="685" spans="4:13" x14ac:dyDescent="0.3">
      <c r="D685" s="642"/>
      <c r="M685" s="690"/>
    </row>
    <row r="686" spans="4:13" x14ac:dyDescent="0.3">
      <c r="D686" s="642"/>
      <c r="M686" s="690"/>
    </row>
    <row r="687" spans="4:13" x14ac:dyDescent="0.3">
      <c r="D687" s="642"/>
    </row>
    <row r="688" spans="4:13" x14ac:dyDescent="0.3">
      <c r="D688" s="642"/>
    </row>
    <row r="689" spans="4:4" x14ac:dyDescent="0.3">
      <c r="D689" s="642"/>
    </row>
    <row r="690" spans="4:4" x14ac:dyDescent="0.3">
      <c r="D690" s="642"/>
    </row>
    <row r="691" spans="4:4" x14ac:dyDescent="0.3">
      <c r="D691" s="642"/>
    </row>
    <row r="692" spans="4:4" x14ac:dyDescent="0.3">
      <c r="D692" s="642"/>
    </row>
    <row r="693" spans="4:4" x14ac:dyDescent="0.3">
      <c r="D693" s="642"/>
    </row>
    <row r="694" spans="4:4" x14ac:dyDescent="0.3">
      <c r="D694" s="642"/>
    </row>
    <row r="695" spans="4:4" x14ac:dyDescent="0.3">
      <c r="D695" s="642"/>
    </row>
    <row r="696" spans="4:4" x14ac:dyDescent="0.3">
      <c r="D696" s="642"/>
    </row>
    <row r="697" spans="4:4" x14ac:dyDescent="0.3">
      <c r="D697" s="642"/>
    </row>
    <row r="698" spans="4:4" x14ac:dyDescent="0.3">
      <c r="D698" s="642"/>
    </row>
    <row r="699" spans="4:4" x14ac:dyDescent="0.3">
      <c r="D699" s="642"/>
    </row>
    <row r="700" spans="4:4" x14ac:dyDescent="0.3">
      <c r="D700" s="642"/>
    </row>
    <row r="701" spans="4:4" x14ac:dyDescent="0.3">
      <c r="D701" s="642"/>
    </row>
    <row r="702" spans="4:4" x14ac:dyDescent="0.3">
      <c r="D702" s="642"/>
    </row>
    <row r="703" spans="4:4" x14ac:dyDescent="0.3">
      <c r="D703" s="642"/>
    </row>
    <row r="704" spans="4:4" x14ac:dyDescent="0.3">
      <c r="D704" s="642"/>
    </row>
    <row r="705" spans="4:4" x14ac:dyDescent="0.3">
      <c r="D705" s="642"/>
    </row>
    <row r="706" spans="4:4" x14ac:dyDescent="0.3">
      <c r="D706" s="642"/>
    </row>
    <row r="707" spans="4:4" x14ac:dyDescent="0.3">
      <c r="D707" s="642"/>
    </row>
    <row r="708" spans="4:4" x14ac:dyDescent="0.3">
      <c r="D708" s="642"/>
    </row>
    <row r="709" spans="4:4" x14ac:dyDescent="0.3">
      <c r="D709" s="642"/>
    </row>
    <row r="710" spans="4:4" x14ac:dyDescent="0.3">
      <c r="D710" s="642"/>
    </row>
    <row r="711" spans="4:4" x14ac:dyDescent="0.3">
      <c r="D711" s="642"/>
    </row>
    <row r="712" spans="4:4" x14ac:dyDescent="0.3">
      <c r="D712" s="642"/>
    </row>
    <row r="713" spans="4:4" x14ac:dyDescent="0.3">
      <c r="D713" s="642"/>
    </row>
    <row r="714" spans="4:4" x14ac:dyDescent="0.3">
      <c r="D714" s="642"/>
    </row>
    <row r="715" spans="4:4" x14ac:dyDescent="0.3">
      <c r="D715" s="642"/>
    </row>
    <row r="716" spans="4:4" x14ac:dyDescent="0.3">
      <c r="D716" s="642"/>
    </row>
    <row r="717" spans="4:4" x14ac:dyDescent="0.3">
      <c r="D717" s="642"/>
    </row>
    <row r="718" spans="4:4" x14ac:dyDescent="0.3">
      <c r="D718" s="642"/>
    </row>
    <row r="719" spans="4:4" x14ac:dyDescent="0.3">
      <c r="D719" s="642"/>
    </row>
    <row r="720" spans="4:4" x14ac:dyDescent="0.3">
      <c r="D720" s="642"/>
    </row>
    <row r="721" spans="4:4" x14ac:dyDescent="0.3">
      <c r="D721" s="642"/>
    </row>
    <row r="722" spans="4:4" x14ac:dyDescent="0.3">
      <c r="D722" s="642"/>
    </row>
    <row r="723" spans="4:4" x14ac:dyDescent="0.3">
      <c r="D723" s="642"/>
    </row>
    <row r="724" spans="4:4" x14ac:dyDescent="0.3">
      <c r="D724" s="642"/>
    </row>
    <row r="725" spans="4:4" x14ac:dyDescent="0.3">
      <c r="D725" s="642"/>
    </row>
    <row r="726" spans="4:4" x14ac:dyDescent="0.3">
      <c r="D726" s="642"/>
    </row>
    <row r="727" spans="4:4" x14ac:dyDescent="0.3">
      <c r="D727" s="642"/>
    </row>
    <row r="728" spans="4:4" x14ac:dyDescent="0.3">
      <c r="D728" s="642"/>
    </row>
    <row r="729" spans="4:4" x14ac:dyDescent="0.3">
      <c r="D729" s="642"/>
    </row>
    <row r="730" spans="4:4" x14ac:dyDescent="0.3">
      <c r="D730" s="642"/>
    </row>
    <row r="731" spans="4:4" x14ac:dyDescent="0.3">
      <c r="D731" s="642"/>
    </row>
    <row r="732" spans="4:4" x14ac:dyDescent="0.3">
      <c r="D732" s="642"/>
    </row>
    <row r="733" spans="4:4" x14ac:dyDescent="0.3">
      <c r="D733" s="642"/>
    </row>
    <row r="734" spans="4:4" x14ac:dyDescent="0.3">
      <c r="D734" s="642"/>
    </row>
    <row r="735" spans="4:4" x14ac:dyDescent="0.3">
      <c r="D735" s="642"/>
    </row>
    <row r="736" spans="4:4" x14ac:dyDescent="0.3">
      <c r="D736" s="642"/>
    </row>
    <row r="737" spans="4:13" x14ac:dyDescent="0.3">
      <c r="D737" s="642"/>
    </row>
    <row r="738" spans="4:13" x14ac:dyDescent="0.3">
      <c r="D738" s="642"/>
    </row>
    <row r="739" spans="4:13" x14ac:dyDescent="0.3">
      <c r="D739" s="642"/>
    </row>
    <row r="740" spans="4:13" x14ac:dyDescent="0.3">
      <c r="D740" s="642"/>
    </row>
    <row r="741" spans="4:13" x14ac:dyDescent="0.3">
      <c r="D741" s="642"/>
    </row>
    <row r="742" spans="4:13" x14ac:dyDescent="0.3">
      <c r="D742" s="642"/>
    </row>
    <row r="743" spans="4:13" x14ac:dyDescent="0.3">
      <c r="D743" s="642"/>
    </row>
    <row r="744" spans="4:13" x14ac:dyDescent="0.3">
      <c r="D744" s="642"/>
    </row>
    <row r="745" spans="4:13" x14ac:dyDescent="0.3">
      <c r="D745" s="642"/>
    </row>
    <row r="746" spans="4:13" x14ac:dyDescent="0.3">
      <c r="D746" s="642"/>
    </row>
    <row r="747" spans="4:13" x14ac:dyDescent="0.3">
      <c r="D747" s="642"/>
    </row>
    <row r="748" spans="4:13" x14ac:dyDescent="0.3">
      <c r="D748" s="642"/>
    </row>
    <row r="749" spans="4:13" x14ac:dyDescent="0.3">
      <c r="D749" s="642"/>
      <c r="M749" s="690"/>
    </row>
    <row r="750" spans="4:13" x14ac:dyDescent="0.3">
      <c r="D750" s="642"/>
    </row>
    <row r="751" spans="4:13" x14ac:dyDescent="0.3">
      <c r="D751" s="642"/>
      <c r="M751" s="690"/>
    </row>
    <row r="752" spans="4:13" x14ac:dyDescent="0.3">
      <c r="D752" s="642"/>
    </row>
    <row r="753" spans="4:4" x14ac:dyDescent="0.3">
      <c r="D753" s="642"/>
    </row>
    <row r="754" spans="4:4" x14ac:dyDescent="0.3">
      <c r="D754" s="642"/>
    </row>
    <row r="755" spans="4:4" x14ac:dyDescent="0.3">
      <c r="D755" s="642"/>
    </row>
    <row r="756" spans="4:4" x14ac:dyDescent="0.3">
      <c r="D756" s="642"/>
    </row>
    <row r="757" spans="4:4" x14ac:dyDescent="0.3">
      <c r="D757" s="642"/>
    </row>
    <row r="758" spans="4:4" x14ac:dyDescent="0.3">
      <c r="D758" s="642"/>
    </row>
    <row r="759" spans="4:4" x14ac:dyDescent="0.3">
      <c r="D759" s="642"/>
    </row>
    <row r="760" spans="4:4" x14ac:dyDescent="0.3">
      <c r="D760" s="642"/>
    </row>
    <row r="761" spans="4:4" x14ac:dyDescent="0.3">
      <c r="D761" s="642"/>
    </row>
    <row r="762" spans="4:4" x14ac:dyDescent="0.3">
      <c r="D762" s="642"/>
    </row>
    <row r="763" spans="4:4" x14ac:dyDescent="0.3">
      <c r="D763" s="642"/>
    </row>
    <row r="764" spans="4:4" x14ac:dyDescent="0.3">
      <c r="D764" s="642"/>
    </row>
    <row r="765" spans="4:4" x14ac:dyDescent="0.3">
      <c r="D765" s="642"/>
    </row>
    <row r="766" spans="4:4" x14ac:dyDescent="0.3">
      <c r="D766" s="642"/>
    </row>
    <row r="767" spans="4:4" x14ac:dyDescent="0.3">
      <c r="D767" s="642"/>
    </row>
    <row r="768" spans="4:4" x14ac:dyDescent="0.3">
      <c r="D768" s="642"/>
    </row>
    <row r="769" spans="4:13" x14ac:dyDescent="0.3">
      <c r="D769" s="642"/>
    </row>
    <row r="770" spans="4:13" x14ac:dyDescent="0.3">
      <c r="D770" s="642"/>
    </row>
    <row r="771" spans="4:13" x14ac:dyDescent="0.3">
      <c r="D771" s="642"/>
    </row>
    <row r="772" spans="4:13" x14ac:dyDescent="0.3">
      <c r="D772" s="642"/>
    </row>
    <row r="773" spans="4:13" x14ac:dyDescent="0.3">
      <c r="D773" s="642"/>
    </row>
    <row r="774" spans="4:13" x14ac:dyDescent="0.3">
      <c r="D774" s="642"/>
    </row>
    <row r="775" spans="4:13" x14ac:dyDescent="0.3">
      <c r="D775" s="642"/>
    </row>
    <row r="776" spans="4:13" x14ac:dyDescent="0.3">
      <c r="D776" s="642"/>
    </row>
    <row r="777" spans="4:13" x14ac:dyDescent="0.3">
      <c r="D777" s="642"/>
      <c r="M777" s="690"/>
    </row>
    <row r="778" spans="4:13" x14ac:dyDescent="0.3">
      <c r="D778" s="642"/>
      <c r="M778" s="690"/>
    </row>
    <row r="779" spans="4:13" x14ac:dyDescent="0.3">
      <c r="D779" s="642"/>
    </row>
    <row r="780" spans="4:13" x14ac:dyDescent="0.3">
      <c r="D780" s="642"/>
    </row>
    <row r="781" spans="4:13" x14ac:dyDescent="0.3">
      <c r="D781" s="642"/>
    </row>
    <row r="782" spans="4:13" x14ac:dyDescent="0.3">
      <c r="D782" s="642"/>
    </row>
    <row r="783" spans="4:13" x14ac:dyDescent="0.3">
      <c r="D783" s="642"/>
    </row>
    <row r="784" spans="4:13" x14ac:dyDescent="0.3">
      <c r="D784" s="642"/>
    </row>
    <row r="785" spans="4:4" x14ac:dyDescent="0.3">
      <c r="D785" s="642"/>
    </row>
    <row r="786" spans="4:4" x14ac:dyDescent="0.3">
      <c r="D786" s="642"/>
    </row>
    <row r="787" spans="4:4" x14ac:dyDescent="0.3">
      <c r="D787" s="642"/>
    </row>
    <row r="788" spans="4:4" x14ac:dyDescent="0.3">
      <c r="D788" s="642"/>
    </row>
    <row r="789" spans="4:4" x14ac:dyDescent="0.3">
      <c r="D789" s="642"/>
    </row>
    <row r="790" spans="4:4" x14ac:dyDescent="0.3">
      <c r="D790" s="642"/>
    </row>
    <row r="791" spans="4:4" x14ac:dyDescent="0.3">
      <c r="D791" s="642"/>
    </row>
    <row r="792" spans="4:4" x14ac:dyDescent="0.3">
      <c r="D792" s="642"/>
    </row>
    <row r="793" spans="4:4" x14ac:dyDescent="0.3">
      <c r="D793" s="642"/>
    </row>
    <row r="794" spans="4:4" x14ac:dyDescent="0.3">
      <c r="D794" s="642"/>
    </row>
    <row r="795" spans="4:4" x14ac:dyDescent="0.3">
      <c r="D795" s="642"/>
    </row>
    <row r="796" spans="4:4" x14ac:dyDescent="0.3">
      <c r="D796" s="642"/>
    </row>
    <row r="797" spans="4:4" x14ac:dyDescent="0.3">
      <c r="D797" s="642"/>
    </row>
    <row r="798" spans="4:4" x14ac:dyDescent="0.3">
      <c r="D798" s="642"/>
    </row>
    <row r="799" spans="4:4" x14ac:dyDescent="0.3">
      <c r="D799" s="642"/>
    </row>
    <row r="800" spans="4:4" x14ac:dyDescent="0.3">
      <c r="D800" s="642"/>
    </row>
    <row r="801" spans="4:4" x14ac:dyDescent="0.3">
      <c r="D801" s="642"/>
    </row>
    <row r="802" spans="4:4" x14ac:dyDescent="0.3">
      <c r="D802" s="642"/>
    </row>
    <row r="803" spans="4:4" x14ac:dyDescent="0.3">
      <c r="D803" s="642"/>
    </row>
    <row r="804" spans="4:4" x14ac:dyDescent="0.3">
      <c r="D804" s="642"/>
    </row>
    <row r="805" spans="4:4" x14ac:dyDescent="0.3">
      <c r="D805" s="642"/>
    </row>
    <row r="806" spans="4:4" x14ac:dyDescent="0.3">
      <c r="D806" s="642"/>
    </row>
    <row r="807" spans="4:4" x14ac:dyDescent="0.3">
      <c r="D807" s="642"/>
    </row>
    <row r="808" spans="4:4" x14ac:dyDescent="0.3">
      <c r="D808" s="642"/>
    </row>
    <row r="809" spans="4:4" x14ac:dyDescent="0.3">
      <c r="D809" s="642"/>
    </row>
    <row r="810" spans="4:4" x14ac:dyDescent="0.3">
      <c r="D810" s="642"/>
    </row>
    <row r="811" spans="4:4" x14ac:dyDescent="0.3">
      <c r="D811" s="642"/>
    </row>
    <row r="812" spans="4:4" x14ac:dyDescent="0.3">
      <c r="D812" s="642"/>
    </row>
    <row r="813" spans="4:4" x14ac:dyDescent="0.3">
      <c r="D813" s="642"/>
    </row>
    <row r="814" spans="4:4" x14ac:dyDescent="0.3">
      <c r="D814" s="642"/>
    </row>
    <row r="815" spans="4:4" x14ac:dyDescent="0.3">
      <c r="D815" s="642"/>
    </row>
    <row r="816" spans="4:4" x14ac:dyDescent="0.3">
      <c r="D816" s="642"/>
    </row>
    <row r="817" spans="4:4" x14ac:dyDescent="0.3">
      <c r="D817" s="642"/>
    </row>
    <row r="818" spans="4:4" x14ac:dyDescent="0.3">
      <c r="D818" s="642"/>
    </row>
    <row r="819" spans="4:4" x14ac:dyDescent="0.3">
      <c r="D819" s="642"/>
    </row>
    <row r="820" spans="4:4" x14ac:dyDescent="0.3">
      <c r="D820" s="642"/>
    </row>
    <row r="821" spans="4:4" x14ac:dyDescent="0.3">
      <c r="D821" s="642"/>
    </row>
    <row r="822" spans="4:4" x14ac:dyDescent="0.3">
      <c r="D822" s="642"/>
    </row>
    <row r="823" spans="4:4" x14ac:dyDescent="0.3">
      <c r="D823" s="642"/>
    </row>
    <row r="824" spans="4:4" x14ac:dyDescent="0.3">
      <c r="D824" s="642"/>
    </row>
    <row r="825" spans="4:4" x14ac:dyDescent="0.3">
      <c r="D825" s="642"/>
    </row>
    <row r="826" spans="4:4" x14ac:dyDescent="0.3">
      <c r="D826" s="642"/>
    </row>
    <row r="827" spans="4:4" x14ac:dyDescent="0.3">
      <c r="D827" s="642"/>
    </row>
    <row r="828" spans="4:4" x14ac:dyDescent="0.3">
      <c r="D828" s="642"/>
    </row>
    <row r="829" spans="4:4" x14ac:dyDescent="0.3">
      <c r="D829" s="642"/>
    </row>
    <row r="830" spans="4:4" x14ac:dyDescent="0.3">
      <c r="D830" s="642"/>
    </row>
    <row r="831" spans="4:4" x14ac:dyDescent="0.3">
      <c r="D831" s="642"/>
    </row>
    <row r="832" spans="4:4" x14ac:dyDescent="0.3">
      <c r="D832" s="642"/>
    </row>
    <row r="833" spans="4:4" x14ac:dyDescent="0.3">
      <c r="D833" s="642"/>
    </row>
    <row r="834" spans="4:4" x14ac:dyDescent="0.3">
      <c r="D834" s="642"/>
    </row>
    <row r="835" spans="4:4" x14ac:dyDescent="0.3">
      <c r="D835" s="642"/>
    </row>
    <row r="836" spans="4:4" x14ac:dyDescent="0.3">
      <c r="D836" s="642"/>
    </row>
    <row r="837" spans="4:4" x14ac:dyDescent="0.3">
      <c r="D837" s="642"/>
    </row>
    <row r="838" spans="4:4" x14ac:dyDescent="0.3">
      <c r="D838" s="642"/>
    </row>
    <row r="839" spans="4:4" x14ac:dyDescent="0.3">
      <c r="D839" s="642"/>
    </row>
    <row r="840" spans="4:4" x14ac:dyDescent="0.3">
      <c r="D840" s="642"/>
    </row>
    <row r="841" spans="4:4" x14ac:dyDescent="0.3">
      <c r="D841" s="642"/>
    </row>
    <row r="842" spans="4:4" x14ac:dyDescent="0.3">
      <c r="D842" s="642"/>
    </row>
    <row r="843" spans="4:4" x14ac:dyDescent="0.3">
      <c r="D843" s="642"/>
    </row>
    <row r="844" spans="4:4" x14ac:dyDescent="0.3">
      <c r="D844" s="642"/>
    </row>
    <row r="845" spans="4:4" x14ac:dyDescent="0.3">
      <c r="D845" s="642"/>
    </row>
    <row r="846" spans="4:4" x14ac:dyDescent="0.3">
      <c r="D846" s="642"/>
    </row>
    <row r="847" spans="4:4" x14ac:dyDescent="0.3">
      <c r="D847" s="642"/>
    </row>
    <row r="848" spans="4:4" x14ac:dyDescent="0.3">
      <c r="D848" s="642"/>
    </row>
    <row r="849" spans="4:4" x14ac:dyDescent="0.3">
      <c r="D849" s="642"/>
    </row>
    <row r="850" spans="4:4" x14ac:dyDescent="0.3">
      <c r="D850" s="642"/>
    </row>
    <row r="851" spans="4:4" x14ac:dyDescent="0.3">
      <c r="D851" s="642"/>
    </row>
    <row r="852" spans="4:4" x14ac:dyDescent="0.3">
      <c r="D852" s="642"/>
    </row>
    <row r="853" spans="4:4" x14ac:dyDescent="0.3">
      <c r="D853" s="642"/>
    </row>
    <row r="854" spans="4:4" x14ac:dyDescent="0.3">
      <c r="D854" s="642"/>
    </row>
    <row r="855" spans="4:4" x14ac:dyDescent="0.3">
      <c r="D855" s="642"/>
    </row>
    <row r="856" spans="4:4" x14ac:dyDescent="0.3">
      <c r="D856" s="642"/>
    </row>
    <row r="857" spans="4:4" x14ac:dyDescent="0.3">
      <c r="D857" s="642"/>
    </row>
    <row r="858" spans="4:4" x14ac:dyDescent="0.3">
      <c r="D858" s="642"/>
    </row>
    <row r="859" spans="4:4" x14ac:dyDescent="0.3">
      <c r="D859" s="642"/>
    </row>
    <row r="860" spans="4:4" x14ac:dyDescent="0.3">
      <c r="D860" s="642"/>
    </row>
    <row r="861" spans="4:4" x14ac:dyDescent="0.3">
      <c r="D861" s="642"/>
    </row>
    <row r="862" spans="4:4" x14ac:dyDescent="0.3">
      <c r="D862" s="642"/>
    </row>
    <row r="863" spans="4:4" x14ac:dyDescent="0.3">
      <c r="D863" s="642"/>
    </row>
    <row r="864" spans="4:4" x14ac:dyDescent="0.3">
      <c r="D864" s="642"/>
    </row>
    <row r="865" spans="4:4" x14ac:dyDescent="0.3">
      <c r="D865" s="642"/>
    </row>
    <row r="866" spans="4:4" x14ac:dyDescent="0.3">
      <c r="D866" s="642"/>
    </row>
    <row r="867" spans="4:4" x14ac:dyDescent="0.3">
      <c r="D867" s="642"/>
    </row>
    <row r="868" spans="4:4" x14ac:dyDescent="0.3">
      <c r="D868" s="642"/>
    </row>
    <row r="869" spans="4:4" x14ac:dyDescent="0.3">
      <c r="D869" s="642"/>
    </row>
    <row r="870" spans="4:4" x14ac:dyDescent="0.3">
      <c r="D870" s="642"/>
    </row>
    <row r="871" spans="4:4" x14ac:dyDescent="0.3">
      <c r="D871" s="642"/>
    </row>
    <row r="872" spans="4:4" x14ac:dyDescent="0.3">
      <c r="D872" s="642"/>
    </row>
    <row r="873" spans="4:4" x14ac:dyDescent="0.3">
      <c r="D873" s="642"/>
    </row>
    <row r="874" spans="4:4" x14ac:dyDescent="0.3">
      <c r="D874" s="642"/>
    </row>
    <row r="875" spans="4:4" x14ac:dyDescent="0.3">
      <c r="D875" s="642"/>
    </row>
    <row r="876" spans="4:4" x14ac:dyDescent="0.3">
      <c r="D876" s="642"/>
    </row>
    <row r="877" spans="4:4" x14ac:dyDescent="0.3">
      <c r="D877" s="642"/>
    </row>
    <row r="878" spans="4:4" x14ac:dyDescent="0.3">
      <c r="D878" s="642"/>
    </row>
    <row r="879" spans="4:4" x14ac:dyDescent="0.3">
      <c r="D879" s="642"/>
    </row>
    <row r="880" spans="4:4" x14ac:dyDescent="0.3">
      <c r="D880" s="642"/>
    </row>
    <row r="881" spans="4:4" x14ac:dyDescent="0.3">
      <c r="D881" s="642"/>
    </row>
    <row r="882" spans="4:4" x14ac:dyDescent="0.3">
      <c r="D882" s="642"/>
    </row>
    <row r="883" spans="4:4" x14ac:dyDescent="0.3">
      <c r="D883" s="642"/>
    </row>
    <row r="884" spans="4:4" x14ac:dyDescent="0.3">
      <c r="D884" s="642"/>
    </row>
    <row r="885" spans="4:4" x14ac:dyDescent="0.3">
      <c r="D885" s="642"/>
    </row>
    <row r="886" spans="4:4" x14ac:dyDescent="0.3">
      <c r="D886" s="642"/>
    </row>
    <row r="887" spans="4:4" x14ac:dyDescent="0.3">
      <c r="D887" s="642"/>
    </row>
    <row r="888" spans="4:4" x14ac:dyDescent="0.3">
      <c r="D888" s="642"/>
    </row>
    <row r="889" spans="4:4" x14ac:dyDescent="0.3">
      <c r="D889" s="642"/>
    </row>
    <row r="890" spans="4:4" x14ac:dyDescent="0.3">
      <c r="D890" s="642"/>
    </row>
    <row r="891" spans="4:4" x14ac:dyDescent="0.3">
      <c r="D891" s="642"/>
    </row>
    <row r="892" spans="4:4" x14ac:dyDescent="0.3">
      <c r="D892" s="642"/>
    </row>
    <row r="893" spans="4:4" x14ac:dyDescent="0.3">
      <c r="D893" s="642"/>
    </row>
    <row r="894" spans="4:4" x14ac:dyDescent="0.3">
      <c r="D894" s="642"/>
    </row>
    <row r="895" spans="4:4" x14ac:dyDescent="0.3">
      <c r="D895" s="642"/>
    </row>
    <row r="896" spans="4:4" x14ac:dyDescent="0.3">
      <c r="D896" s="642"/>
    </row>
    <row r="897" spans="4:4" x14ac:dyDescent="0.3">
      <c r="D897" s="642"/>
    </row>
    <row r="898" spans="4:4" x14ac:dyDescent="0.3">
      <c r="D898" s="642"/>
    </row>
    <row r="899" spans="4:4" x14ac:dyDescent="0.3">
      <c r="D899" s="642"/>
    </row>
    <row r="900" spans="4:4" x14ac:dyDescent="0.3">
      <c r="D900" s="642"/>
    </row>
    <row r="901" spans="4:4" x14ac:dyDescent="0.3">
      <c r="D901" s="642"/>
    </row>
    <row r="902" spans="4:4" x14ac:dyDescent="0.3">
      <c r="D902" s="642"/>
    </row>
    <row r="903" spans="4:4" x14ac:dyDescent="0.3">
      <c r="D903" s="642"/>
    </row>
    <row r="904" spans="4:4" x14ac:dyDescent="0.3">
      <c r="D904" s="642"/>
    </row>
    <row r="905" spans="4:4" x14ac:dyDescent="0.3">
      <c r="D905" s="642"/>
    </row>
    <row r="906" spans="4:4" x14ac:dyDescent="0.3">
      <c r="D906" s="642"/>
    </row>
    <row r="907" spans="4:4" x14ac:dyDescent="0.3">
      <c r="D907" s="642"/>
    </row>
    <row r="908" spans="4:4" x14ac:dyDescent="0.3">
      <c r="D908" s="642"/>
    </row>
    <row r="909" spans="4:4" x14ac:dyDescent="0.3">
      <c r="D909" s="642"/>
    </row>
    <row r="910" spans="4:4" x14ac:dyDescent="0.3">
      <c r="D910" s="642"/>
    </row>
    <row r="911" spans="4:4" x14ac:dyDescent="0.3">
      <c r="D911" s="642"/>
    </row>
    <row r="912" spans="4:4" x14ac:dyDescent="0.3">
      <c r="D912" s="642"/>
    </row>
    <row r="913" spans="4:4" x14ac:dyDescent="0.3">
      <c r="D913" s="642"/>
    </row>
    <row r="914" spans="4:4" x14ac:dyDescent="0.3">
      <c r="D914" s="642"/>
    </row>
    <row r="915" spans="4:4" x14ac:dyDescent="0.3">
      <c r="D915" s="642"/>
    </row>
    <row r="916" spans="4:4" x14ac:dyDescent="0.3">
      <c r="D916" s="642"/>
    </row>
    <row r="917" spans="4:4" x14ac:dyDescent="0.3">
      <c r="D917" s="642"/>
    </row>
    <row r="918" spans="4:4" x14ac:dyDescent="0.3">
      <c r="D918" s="642"/>
    </row>
    <row r="919" spans="4:4" x14ac:dyDescent="0.3">
      <c r="D919" s="642"/>
    </row>
    <row r="920" spans="4:4" x14ac:dyDescent="0.3">
      <c r="D920" s="642"/>
    </row>
    <row r="921" spans="4:4" x14ac:dyDescent="0.3">
      <c r="D921" s="642"/>
    </row>
    <row r="922" spans="4:4" x14ac:dyDescent="0.3">
      <c r="D922" s="642"/>
    </row>
    <row r="923" spans="4:4" x14ac:dyDescent="0.3">
      <c r="D923" s="642"/>
    </row>
    <row r="924" spans="4:4" x14ac:dyDescent="0.3">
      <c r="D924" s="642"/>
    </row>
    <row r="925" spans="4:4" x14ac:dyDescent="0.3">
      <c r="D925" s="642"/>
    </row>
    <row r="926" spans="4:4" x14ac:dyDescent="0.3">
      <c r="D926" s="642"/>
    </row>
    <row r="927" spans="4:4" x14ac:dyDescent="0.3">
      <c r="D927" s="642"/>
    </row>
    <row r="928" spans="4:4" x14ac:dyDescent="0.3">
      <c r="D928" s="642"/>
    </row>
    <row r="929" spans="4:4" x14ac:dyDescent="0.3">
      <c r="D929" s="642"/>
    </row>
    <row r="930" spans="4:4" x14ac:dyDescent="0.3">
      <c r="D930" s="642"/>
    </row>
    <row r="931" spans="4:4" x14ac:dyDescent="0.3">
      <c r="D931" s="642"/>
    </row>
    <row r="932" spans="4:4" x14ac:dyDescent="0.3">
      <c r="D932" s="642"/>
    </row>
    <row r="933" spans="4:4" x14ac:dyDescent="0.3">
      <c r="D933" s="642"/>
    </row>
    <row r="934" spans="4:4" x14ac:dyDescent="0.3">
      <c r="D934" s="642"/>
    </row>
    <row r="935" spans="4:4" x14ac:dyDescent="0.3">
      <c r="D935" s="642"/>
    </row>
    <row r="936" spans="4:4" x14ac:dyDescent="0.3">
      <c r="D936" s="642"/>
    </row>
    <row r="937" spans="4:4" x14ac:dyDescent="0.3">
      <c r="D937" s="642"/>
    </row>
    <row r="938" spans="4:4" x14ac:dyDescent="0.3">
      <c r="D938" s="642"/>
    </row>
    <row r="939" spans="4:4" x14ac:dyDescent="0.3">
      <c r="D939" s="642"/>
    </row>
    <row r="940" spans="4:4" x14ac:dyDescent="0.3">
      <c r="D940" s="642"/>
    </row>
    <row r="941" spans="4:4" x14ac:dyDescent="0.3">
      <c r="D941" s="642"/>
    </row>
    <row r="942" spans="4:4" x14ac:dyDescent="0.3">
      <c r="D942" s="642"/>
    </row>
    <row r="943" spans="4:4" x14ac:dyDescent="0.3">
      <c r="D943" s="642"/>
    </row>
    <row r="944" spans="4:4" x14ac:dyDescent="0.3">
      <c r="D944" s="642"/>
    </row>
    <row r="945" spans="4:13" x14ac:dyDescent="0.3">
      <c r="D945" s="642"/>
      <c r="M945" s="690"/>
    </row>
    <row r="946" spans="4:13" x14ac:dyDescent="0.3">
      <c r="D946" s="642"/>
      <c r="M946" s="690"/>
    </row>
    <row r="947" spans="4:13" x14ac:dyDescent="0.3">
      <c r="D947" s="642"/>
    </row>
    <row r="948" spans="4:13" x14ac:dyDescent="0.3">
      <c r="D948" s="642"/>
    </row>
    <row r="949" spans="4:13" x14ac:dyDescent="0.3">
      <c r="D949" s="642"/>
    </row>
    <row r="950" spans="4:13" x14ac:dyDescent="0.3">
      <c r="D950" s="642"/>
    </row>
    <row r="951" spans="4:13" x14ac:dyDescent="0.3">
      <c r="D951" s="642"/>
    </row>
    <row r="952" spans="4:13" x14ac:dyDescent="0.3">
      <c r="D952" s="642"/>
    </row>
    <row r="953" spans="4:13" x14ac:dyDescent="0.3">
      <c r="D953" s="642"/>
    </row>
    <row r="954" spans="4:13" x14ac:dyDescent="0.3">
      <c r="D954" s="642"/>
    </row>
    <row r="955" spans="4:13" x14ac:dyDescent="0.3">
      <c r="D955" s="642"/>
    </row>
    <row r="956" spans="4:13" x14ac:dyDescent="0.3">
      <c r="D956" s="642"/>
    </row>
    <row r="957" spans="4:13" x14ac:dyDescent="0.3">
      <c r="D957" s="642"/>
    </row>
    <row r="958" spans="4:13" x14ac:dyDescent="0.3">
      <c r="D958" s="642"/>
    </row>
    <row r="959" spans="4:13" x14ac:dyDescent="0.3">
      <c r="D959" s="642"/>
    </row>
    <row r="960" spans="4:13" x14ac:dyDescent="0.3">
      <c r="D960" s="642"/>
    </row>
    <row r="961" spans="4:4" x14ac:dyDescent="0.3">
      <c r="D961" s="642"/>
    </row>
    <row r="962" spans="4:4" x14ac:dyDescent="0.3">
      <c r="D962" s="642"/>
    </row>
    <row r="963" spans="4:4" x14ac:dyDescent="0.3">
      <c r="D963" s="642"/>
    </row>
    <row r="964" spans="4:4" x14ac:dyDescent="0.3">
      <c r="D964" s="642"/>
    </row>
    <row r="965" spans="4:4" x14ac:dyDescent="0.3">
      <c r="D965" s="642"/>
    </row>
    <row r="966" spans="4:4" x14ac:dyDescent="0.3">
      <c r="D966" s="642"/>
    </row>
    <row r="967" spans="4:4" x14ac:dyDescent="0.3">
      <c r="D967" s="642"/>
    </row>
    <row r="968" spans="4:4" x14ac:dyDescent="0.3">
      <c r="D968" s="642"/>
    </row>
    <row r="969" spans="4:4" x14ac:dyDescent="0.3">
      <c r="D969" s="642"/>
    </row>
    <row r="970" spans="4:4" x14ac:dyDescent="0.3">
      <c r="D970" s="642"/>
    </row>
    <row r="971" spans="4:4" x14ac:dyDescent="0.3">
      <c r="D971" s="642"/>
    </row>
    <row r="972" spans="4:4" x14ac:dyDescent="0.3">
      <c r="D972" s="642"/>
    </row>
    <row r="973" spans="4:4" x14ac:dyDescent="0.3">
      <c r="D973" s="642"/>
    </row>
    <row r="974" spans="4:4" x14ac:dyDescent="0.3">
      <c r="D974" s="642"/>
    </row>
    <row r="975" spans="4:4" x14ac:dyDescent="0.3">
      <c r="D975" s="642"/>
    </row>
  </sheetData>
  <sortState ref="H5:I702">
    <sortCondition ref="H5"/>
  </sortState>
  <hyperlinks>
    <hyperlink ref="B4" r:id="rId1" display="http://office.microsoft.com/client/15/help/preview?AssetId=HA102753207&amp;lcid=1033&amp;NS=EXCEL&amp;Version=15&amp;tl=2&amp;CTT=5&amp;origin=HA102752955"/>
    <hyperlink ref="B5" r:id="rId2" display="http://office.microsoft.com/client/15/help/preview?AssetId=HA102753206&amp;lcid=1033&amp;NS=EXCEL&amp;Version=15&amp;tl=2&amp;CTT=5&amp;origin=HA102752955"/>
    <hyperlink ref="B6" r:id="rId3" display="http://office.microsoft.com/client/15/help/preview?AssetId=HA102753205&amp;lcid=1033&amp;NS=EXCEL&amp;Version=15&amp;tl=2&amp;CTT=5&amp;origin=HA102752955"/>
    <hyperlink ref="B7" r:id="rId4" display="http://office.microsoft.com/client/15/help/preview?AssetId=HA102753204&amp;lcid=1033&amp;NS=EXCEL&amp;Version=15&amp;tl=2&amp;CTT=5&amp;origin=HA102752955"/>
    <hyperlink ref="B8" r:id="rId5" display="http://office.microsoft.com/client/15/help/preview?AssetId=HA102753203&amp;lcid=1033&amp;NS=EXCEL&amp;Version=15&amp;tl=2&amp;CTT=5&amp;origin=HA102752955"/>
    <hyperlink ref="B9" r:id="rId6" display="http://office.microsoft.com/client/15/help/preview?AssetId=HA102753202&amp;lcid=1033&amp;NS=EXCEL&amp;Version=15&amp;tl=2&amp;CTT=5&amp;origin=HA102752955"/>
    <hyperlink ref="B10" r:id="rId7" display="http://office.microsoft.com/client/15/help/preview?AssetId=HA102753201&amp;lcid=1033&amp;NS=EXCEL&amp;Version=15&amp;tl=2&amp;CTT=5&amp;origin=HA102752955"/>
    <hyperlink ref="B11" r:id="rId8" display="http://office.microsoft.com/client/15/help/preview?AssetId=HA102753200&amp;lcid=1033&amp;NS=EXCEL&amp;Version=15&amp;tl=2&amp;CTT=5&amp;origin=HA102752955"/>
    <hyperlink ref="B12" r:id="rId9" display="http://office.microsoft.com/client/15/help/preview?AssetId=HA102753199&amp;lcid=1033&amp;NS=EXCEL&amp;Version=15&amp;tl=2&amp;CTT=5&amp;origin=HA102752955"/>
    <hyperlink ref="B13" r:id="rId10" display="http://office.microsoft.com/client/15/help/preview?AssetId=HA102753198&amp;lcid=1033&amp;NS=EXCEL&amp;Version=15&amp;tl=2&amp;CTT=5&amp;origin=HA102752955"/>
    <hyperlink ref="B14" r:id="rId11" display="http://office.microsoft.com/client/15/help/preview?AssetId=HA102753197&amp;lcid=1033&amp;NS=EXCEL&amp;Version=15&amp;tl=2&amp;CTT=5&amp;origin=HA102752955"/>
    <hyperlink ref="B15" r:id="rId12" display="http://office.microsoft.com/client/15/help/preview?AssetId=HA102753196&amp;lcid=1033&amp;NS=EXCEL&amp;Version=15&amp;tl=2&amp;CTT=5&amp;origin=HA102752955"/>
    <hyperlink ref="B16" r:id="rId13" display="http://office.microsoft.com/client/15/help/preview?AssetId=HA102753195&amp;lcid=1033&amp;NS=EXCEL&amp;Version=15&amp;tl=2&amp;CTT=5&amp;origin=HA102752955"/>
    <hyperlink ref="B17" r:id="rId14" display="http://office.microsoft.com/client/15/help/preview?AssetId=HA102753194&amp;lcid=1033&amp;NS=EXCEL&amp;Version=15&amp;tl=2&amp;CTT=5&amp;origin=HA102752955"/>
    <hyperlink ref="B18" r:id="rId15" display="http://office.microsoft.com/client/15/help/preview?AssetId=HA102753193&amp;lcid=1033&amp;NS=EXCEL&amp;Version=15&amp;tl=2&amp;CTT=5&amp;origin=HA102752955"/>
    <hyperlink ref="B19" r:id="rId16" display="http://office.microsoft.com/client/15/help/preview?AssetId=HA102753192&amp;lcid=1033&amp;NS=EXCEL&amp;Version=15&amp;tl=2&amp;CTT=5&amp;origin=HA102752955"/>
    <hyperlink ref="B20" r:id="rId17" display="http://office.microsoft.com/client/15/help/preview?AssetId=HA102752949&amp;lcid=1033&amp;NS=EXCEL&amp;Version=15&amp;tl=2&amp;CTT=5&amp;origin=HA102752955"/>
    <hyperlink ref="B21" r:id="rId18" display="http://office.microsoft.com/client/15/help/preview?AssetId=HA102753191&amp;lcid=1033&amp;NS=EXCEL&amp;Version=15&amp;tl=2&amp;CTT=5&amp;origin=HA102752955"/>
    <hyperlink ref="B22" r:id="rId19" display="http://office.microsoft.com/client/15/help/preview?AssetId=HA102753190&amp;lcid=1033&amp;NS=EXCEL&amp;Version=15&amp;tl=2&amp;CTT=5&amp;origin=HA102752955"/>
    <hyperlink ref="B23" r:id="rId20" display="http://office.microsoft.com/client/15/help/preview?AssetId=HA102753189&amp;lcid=1033&amp;NS=EXCEL&amp;Version=15&amp;tl=2&amp;CTT=5&amp;origin=HA102752955"/>
    <hyperlink ref="B24" r:id="rId21" display="http://office.microsoft.com/client/15/help/preview?AssetId=HA102753188&amp;lcid=1033&amp;NS=EXCEL&amp;Version=15&amp;tl=2&amp;CTT=5&amp;origin=HA102752955"/>
    <hyperlink ref="B25" r:id="rId22" display="http://office.microsoft.com/client/15/help/preview?AssetId=HA102753185&amp;lcid=1033&amp;NS=EXCEL&amp;Version=15&amp;tl=2&amp;CTT=5&amp;origin=HA102752955"/>
    <hyperlink ref="B26" r:id="rId23" display="http://office.microsoft.com/client/15/help/preview?AssetId=HA102753184&amp;lcid=1033&amp;NS=EXCEL&amp;Version=15&amp;tl=2&amp;CTT=5&amp;origin=HA102752955"/>
    <hyperlink ref="B27" r:id="rId24" display="http://office.microsoft.com/client/15/help/preview?AssetId=HA102753183&amp;lcid=1033&amp;NS=EXCEL&amp;Version=15&amp;tl=2&amp;CTT=5&amp;origin=HA102752955"/>
    <hyperlink ref="B28" r:id="rId25" display="http://office.microsoft.com/client/15/help/preview?AssetId=HA102753182&amp;lcid=1033&amp;NS=EXCEL&amp;Version=15&amp;tl=2&amp;CTT=5&amp;origin=HA102752955"/>
    <hyperlink ref="B29" r:id="rId26" display="http://office.microsoft.com/client/15/help/preview?AssetId=HA102753181&amp;lcid=1033&amp;NS=EXCEL&amp;Version=15&amp;tl=2&amp;CTT=5&amp;origin=HA102752955"/>
    <hyperlink ref="B30" r:id="rId27" display="http://office.microsoft.com/client/15/help/preview?AssetId=HA102753180&amp;lcid=1033&amp;NS=EXCEL&amp;Version=15&amp;tl=2&amp;CTT=5&amp;origin=HA102752955"/>
    <hyperlink ref="B31" r:id="rId28" display="http://office.microsoft.com/client/15/help/preview?AssetId=HA102753179&amp;lcid=1033&amp;NS=EXCEL&amp;Version=15&amp;tl=2&amp;CTT=5&amp;origin=HA102752955"/>
    <hyperlink ref="B32" r:id="rId29" display="http://office.microsoft.com/client/15/help/preview?AssetId=HA102753178&amp;lcid=1033&amp;NS=EXCEL&amp;Version=15&amp;tl=2&amp;CTT=5&amp;origin=HA102752955"/>
    <hyperlink ref="B33" r:id="rId30" display="http://office.microsoft.com/client/15/help/preview?AssetId=HA102753177&amp;lcid=1033&amp;NS=EXCEL&amp;Version=15&amp;tl=2&amp;CTT=5&amp;origin=HA102752955"/>
    <hyperlink ref="B34" r:id="rId31" display="http://office.microsoft.com/client/15/help/preview?AssetId=HA102753176&amp;lcid=1033&amp;NS=EXCEL&amp;Version=15&amp;tl=2&amp;CTT=5&amp;origin=HA102752955"/>
    <hyperlink ref="B35" r:id="rId32" display="http://office.microsoft.com/client/15/help/preview?AssetId=HA102753175&amp;lcid=1033&amp;NS=EXCEL&amp;Version=15&amp;tl=2&amp;CTT=5&amp;origin=HA102752955"/>
    <hyperlink ref="B36" r:id="rId33" display="http://office.microsoft.com/client/15/help/preview?AssetId=HA102753174&amp;lcid=1033&amp;NS=EXCEL&amp;Version=15&amp;tl=2&amp;CTT=5&amp;origin=HA102752955"/>
    <hyperlink ref="B37" r:id="rId34" display="http://office.microsoft.com/client/15/help/preview?AssetId=HA102753173&amp;lcid=1033&amp;NS=EXCEL&amp;Version=15&amp;tl=2&amp;CTT=5&amp;origin=HA102752955"/>
    <hyperlink ref="B38" r:id="rId35" display="http://office.microsoft.com/client/15/help/preview?AssetId=HA102753172&amp;lcid=1033&amp;NS=EXCEL&amp;Version=15&amp;tl=2&amp;CTT=5&amp;origin=HA102752955"/>
    <hyperlink ref="B39" r:id="rId36" display="http://office.microsoft.com/client/15/help/preview?AssetId=HA102753171&amp;lcid=1033&amp;NS=EXCEL&amp;Version=15&amp;tl=2&amp;CTT=5&amp;origin=HA102752955"/>
    <hyperlink ref="B40" r:id="rId37" display="http://office.microsoft.com/client/15/help/preview?AssetId=HA102753170&amp;lcid=1033&amp;NS=EXCEL&amp;Version=15&amp;tl=2&amp;CTT=5&amp;origin=HA102752955"/>
    <hyperlink ref="B41" r:id="rId38" display="http://office.microsoft.com/client/15/help/preview?AssetId=HA102753169&amp;lcid=1033&amp;NS=EXCEL&amp;Version=15&amp;tl=2&amp;CTT=5&amp;origin=HA102752955"/>
    <hyperlink ref="B44" r:id="rId39" display="http://office.microsoft.com/client/15/help/preview?AssetId=HA102753236&amp;lcid=1033&amp;NS=EXCEL&amp;Version=15&amp;tl=2&amp;CTT=5&amp;origin=HA102752955"/>
    <hyperlink ref="B45" r:id="rId40" display="http://office.microsoft.com/client/15/help/preview?AssetId=HA102753235&amp;lcid=1033&amp;NS=EXCEL&amp;Version=15&amp;tl=2&amp;CTT=5&amp;origin=HA102752955"/>
    <hyperlink ref="B46" r:id="rId41" display="http://office.microsoft.com/client/15/help/preview?AssetId=HA102753234&amp;lcid=1033&amp;NS=EXCEL&amp;Version=15&amp;tl=2&amp;CTT=5&amp;origin=HA102752955"/>
    <hyperlink ref="B47" r:id="rId42" display="http://office.microsoft.com/client/15/help/preview?AssetId=HA102753233&amp;lcid=1033&amp;NS=EXCEL&amp;Version=15&amp;tl=2&amp;CTT=5&amp;origin=HA102752955"/>
    <hyperlink ref="B48" r:id="rId43" display="http://office.microsoft.com/client/15/help/preview?AssetId=HA102753232&amp;lcid=1033&amp;NS=EXCEL&amp;Version=15&amp;tl=2&amp;CTT=5&amp;origin=HA102752955"/>
    <hyperlink ref="B49" r:id="rId44" display="http://office.microsoft.com/client/15/help/preview?AssetId=HA102753231&amp;lcid=1033&amp;NS=EXCEL&amp;Version=15&amp;tl=2&amp;CTT=5&amp;origin=HA102752955"/>
    <hyperlink ref="B50" r:id="rId45" display="http://office.microsoft.com/client/15/help/preview?AssetId=HA102753230&amp;lcid=1033&amp;NS=EXCEL&amp;Version=15&amp;tl=2&amp;CTT=5&amp;origin=HA102752955"/>
    <hyperlink ref="B53" r:id="rId46" display="http://office.microsoft.com/client/15/help/preview?AssetId=HA102753064&amp;lcid=1033&amp;NS=EXCEL&amp;Version=15&amp;tl=2&amp;CTT=5&amp;origin=HA102752955"/>
    <hyperlink ref="B54" r:id="rId47" display="http://office.microsoft.com/client/15/help/preview?AssetId=HA102753060&amp;lcid=1033&amp;NS=EXCEL&amp;Version=15&amp;tl=2&amp;CTT=5&amp;origin=HA102752955"/>
    <hyperlink ref="B55" r:id="rId48" display="http://office.microsoft.com/client/15/help/preview?AssetId=HA102753059&amp;lcid=1033&amp;NS=EXCEL&amp;Version=15&amp;tl=2&amp;CTT=5&amp;origin=HA102752955"/>
    <hyperlink ref="B56" r:id="rId49" display="http://office.microsoft.com/client/15/help/preview?AssetId=HA102753050&amp;lcid=1033&amp;NS=EXCEL&amp;Version=15&amp;tl=2&amp;CTT=5&amp;origin=HA102752955"/>
    <hyperlink ref="B57" r:id="rId50" display="http://office.microsoft.com/client/15/help/preview?AssetId=HA102753048&amp;lcid=1033&amp;NS=EXCEL&amp;Version=15&amp;tl=2&amp;CTT=5&amp;origin=HA102752955"/>
    <hyperlink ref="B58" r:id="rId51" display="http://office.microsoft.com/client/15/help/preview?AssetId=HA102753047&amp;lcid=1033&amp;NS=EXCEL&amp;Version=15&amp;tl=2&amp;CTT=5&amp;origin=HA102752955"/>
    <hyperlink ref="B59" r:id="rId52" display="http://office.microsoft.com/client/15/help/preview?AssetId=HA102753043&amp;lcid=1033&amp;NS=EXCEL&amp;Version=15&amp;tl=2&amp;CTT=5&amp;origin=HA102752955"/>
    <hyperlink ref="B60" r:id="rId53" display="http://office.microsoft.com/client/15/help/preview?AssetId=HA102753042&amp;lcid=1033&amp;NS=EXCEL&amp;Version=15&amp;tl=2&amp;CTT=5&amp;origin=HA102752955"/>
    <hyperlink ref="B61" r:id="rId54" display="http://office.microsoft.com/client/15/help/preview?AssetId=HA102753041&amp;lcid=1033&amp;NS=EXCEL&amp;Version=15&amp;tl=2&amp;CTT=5&amp;origin=HA102752955"/>
    <hyperlink ref="B62" r:id="rId55" display="http://office.microsoft.com/client/15/help/preview?AssetId=HA102753040&amp;lcid=1033&amp;NS=EXCEL&amp;Version=15&amp;tl=2&amp;CTT=5&amp;origin=HA102752955"/>
    <hyperlink ref="B63" r:id="rId56" display="http://office.microsoft.com/client/15/help/preview?AssetId=HA102753038&amp;lcid=1033&amp;NS=EXCEL&amp;Version=15&amp;tl=2&amp;CTT=5&amp;origin=HA102752955"/>
    <hyperlink ref="B64" r:id="rId57" display="http://office.microsoft.com/client/15/help/preview?AssetId=HA102753037&amp;lcid=1033&amp;NS=EXCEL&amp;Version=15&amp;tl=2&amp;CTT=5&amp;origin=HA102752955"/>
    <hyperlink ref="B67" r:id="rId58" display="http://office.microsoft.com/client/15/help/preview?AssetId=HA102753066&amp;lcid=1033&amp;NS=EXCEL&amp;Version=15&amp;tl=2&amp;CTT=5&amp;origin=HA102752955"/>
    <hyperlink ref="B68" r:id="rId59" display="http://office.microsoft.com/client/15/help/preview?AssetId=HA102753065&amp;lcid=1033&amp;NS=EXCEL&amp;Version=15&amp;tl=2&amp;CTT=5&amp;origin=HA102752955"/>
    <hyperlink ref="B69" r:id="rId60" display="http://office.microsoft.com/client/15/help/preview?AssetId=HA102753063&amp;lcid=1033&amp;NS=EXCEL&amp;Version=15&amp;tl=2&amp;CTT=5&amp;origin=HA102752955"/>
    <hyperlink ref="B70" r:id="rId61" display="http://office.microsoft.com/client/15/help/preview?AssetId=HA102753275&amp;lcid=1033&amp;NS=EXCEL&amp;Version=15&amp;tl=2&amp;CTT=5&amp;origin=HA102752955"/>
    <hyperlink ref="B71" r:id="rId62" display="http://office.microsoft.com/client/15/help/preview?AssetId=HA102753062&amp;lcid=1033&amp;NS=EXCEL&amp;Version=15&amp;tl=2&amp;CTT=5&amp;origin=HA102752955"/>
    <hyperlink ref="B72" r:id="rId63" display="http://office.microsoft.com/client/15/help/preview?AssetId=HA102753035&amp;lcid=1033&amp;NS=EXCEL&amp;Version=15&amp;tl=2&amp;CTT=5&amp;origin=HA102752955"/>
    <hyperlink ref="B73" r:id="rId64" display="http://office.microsoft.com/client/15/help/preview?AssetId=HA102753032&amp;lcid=1033&amp;NS=EXCEL&amp;Version=15&amp;tl=2&amp;CTT=5&amp;origin=HA102752955"/>
    <hyperlink ref="B74" r:id="rId65" display="http://office.microsoft.com/client/15/help/preview?AssetId=HA102752996&amp;lcid=1033&amp;NS=EXCEL&amp;Version=15&amp;tl=2&amp;CTT=5&amp;origin=HA102752955"/>
    <hyperlink ref="B75" r:id="rId66" display="http://office.microsoft.com/client/15/help/preview?AssetId=HA102753290&amp;lcid=1033&amp;NS=EXCEL&amp;Version=15&amp;tl=2&amp;CTT=5&amp;origin=HA102752955"/>
    <hyperlink ref="B76" r:id="rId67" display="http://office.microsoft.com/client/15/help/preview?AssetId=HA102752934&amp;lcid=1033&amp;NS=EXCEL&amp;Version=15&amp;tl=2&amp;CTT=5&amp;origin=HA102752955"/>
    <hyperlink ref="B77" r:id="rId68" display="http://office.microsoft.com/client/15/help/preview?AssetId=HA102752929&amp;lcid=1033&amp;NS=EXCEL&amp;Version=15&amp;tl=2&amp;CTT=5&amp;origin=HA102752955"/>
    <hyperlink ref="B78" r:id="rId69" display="http://office.microsoft.com/client/15/help/preview?AssetId=HA102752924&amp;lcid=1033&amp;NS=EXCEL&amp;Version=15&amp;tl=2&amp;CTT=5&amp;origin=HA102752955"/>
    <hyperlink ref="B79" r:id="rId70" display="http://office.microsoft.com/client/15/help/preview?AssetId=HA102753216&amp;lcid=1033&amp;NS=EXCEL&amp;Version=15&amp;tl=2&amp;CTT=5&amp;origin=HA102752955"/>
    <hyperlink ref="B80" r:id="rId71" display="http://office.microsoft.com/client/15/help/preview?AssetId=HA102752921&amp;lcid=1033&amp;NS=EXCEL&amp;Version=15&amp;tl=2&amp;CTT=5&amp;origin=HA102752955"/>
    <hyperlink ref="B81" r:id="rId72" display="http://office.microsoft.com/client/15/help/preview?AssetId=HA102752874&amp;lcid=1033&amp;NS=EXCEL&amp;Version=15&amp;tl=2&amp;CTT=5&amp;origin=HA102752955"/>
    <hyperlink ref="B82" r:id="rId73" display="http://office.microsoft.com/client/15/help/preview?AssetId=HA102752838&amp;lcid=1033&amp;NS=EXCEL&amp;Version=15&amp;tl=2&amp;CTT=5&amp;origin=HA102752955"/>
    <hyperlink ref="B83" r:id="rId74" display="http://office.microsoft.com/client/15/help/preview?AssetId=HA102752837&amp;lcid=1033&amp;NS=EXCEL&amp;Version=15&amp;tl=2&amp;CTT=5&amp;origin=HA102752955"/>
    <hyperlink ref="B84" r:id="rId75" display="http://office.microsoft.com/client/15/help/preview?AssetId=HA102752836&amp;lcid=1033&amp;NS=EXCEL&amp;Version=15&amp;tl=2&amp;CTT=5&amp;origin=HA102752955"/>
    <hyperlink ref="B85" r:id="rId76" display="http://office.microsoft.com/client/15/help/preview?AssetId=HA102752819&amp;lcid=1033&amp;NS=EXCEL&amp;Version=15&amp;tl=2&amp;CTT=5&amp;origin=HA102752955"/>
    <hyperlink ref="B86" r:id="rId77" display="http://office.microsoft.com/client/15/help/preview?AssetId=HA102752818&amp;lcid=1033&amp;NS=EXCEL&amp;Version=15&amp;tl=2&amp;CTT=5&amp;origin=HA102752955"/>
    <hyperlink ref="B87" r:id="rId78" display="http://office.microsoft.com/client/15/help/preview?AssetId=HA102752817&amp;lcid=1033&amp;NS=EXCEL&amp;Version=15&amp;tl=2&amp;CTT=5&amp;origin=HA102752955"/>
    <hyperlink ref="B88" r:id="rId79" display="http://office.microsoft.com/client/15/help/preview?AssetId=HA102753215&amp;lcid=1033&amp;NS=EXCEL&amp;Version=15&amp;tl=2&amp;CTT=5&amp;origin=HA102752955"/>
    <hyperlink ref="B89" r:id="rId80" display="http://office.microsoft.com/client/15/help/preview?AssetId=HA102752813&amp;lcid=1033&amp;NS=EXCEL&amp;Version=15&amp;tl=2&amp;CTT=5&amp;origin=HA102752955"/>
    <hyperlink ref="B90" r:id="rId81" display="http://office.microsoft.com/client/15/help/preview?AssetId=HA102752812&amp;lcid=1033&amp;NS=EXCEL&amp;Version=15&amp;tl=2&amp;CTT=5&amp;origin=HA102752955"/>
    <hyperlink ref="B93" r:id="rId82" display="http://office.microsoft.com/client/15/help/preview?AssetId=HA102753105&amp;lcid=1033&amp;NS=EXCEL&amp;Version=15&amp;tl=2&amp;CTT=5&amp;origin=HA102752955"/>
    <hyperlink ref="B94" r:id="rId83" display="http://office.microsoft.com/client/15/help/preview?AssetId=HA102753104&amp;lcid=1033&amp;NS=EXCEL&amp;Version=15&amp;tl=2&amp;CTT=5&amp;origin=HA102752955"/>
    <hyperlink ref="B95" r:id="rId84" display="http://office.microsoft.com/client/15/help/preview?AssetId=HA102753103&amp;lcid=1033&amp;NS=EXCEL&amp;Version=15&amp;tl=2&amp;CTT=5&amp;origin=HA102752955"/>
    <hyperlink ref="B96" r:id="rId85" display="http://office.microsoft.com/client/15/help/preview?AssetId=HA102753102&amp;lcid=1033&amp;NS=EXCEL&amp;Version=15&amp;tl=2&amp;CTT=5&amp;origin=HA102752955"/>
    <hyperlink ref="B97" r:id="rId86" display="http://office.microsoft.com/client/15/help/preview?AssetId=HA102753101&amp;lcid=1033&amp;NS=EXCEL&amp;Version=15&amp;tl=2&amp;CTT=5&amp;origin=HA102752955"/>
    <hyperlink ref="B98" r:id="rId87" display="http://office.microsoft.com/client/15/help/preview?AssetId=HA102753100&amp;lcid=1033&amp;NS=EXCEL&amp;Version=15&amp;tl=2&amp;CTT=5&amp;origin=HA102752955"/>
    <hyperlink ref="B99" r:id="rId88" display="http://office.microsoft.com/client/15/help/preview?AssetId=HA102753099&amp;lcid=1033&amp;NS=EXCEL&amp;Version=15&amp;tl=2&amp;CTT=5&amp;origin=HA102752955"/>
    <hyperlink ref="B100" r:id="rId89" display="http://office.microsoft.com/client/15/help/preview?AssetId=HA102753251&amp;lcid=1033&amp;NS=EXCEL&amp;Version=15&amp;tl=2&amp;CTT=5&amp;origin=HA102752955"/>
    <hyperlink ref="B101" r:id="rId90" display="http://office.microsoft.com/client/15/help/preview?AssetId=HA102753252&amp;lcid=1033&amp;NS=EXCEL&amp;Version=15&amp;tl=2&amp;CTT=5&amp;origin=HA102752955"/>
    <hyperlink ref="B102" r:id="rId91" display="http://office.microsoft.com/client/15/help/preview?AssetId=HA102753253&amp;lcid=1033&amp;NS=EXCEL&amp;Version=15&amp;tl=2&amp;CTT=5&amp;origin=HA102752955"/>
    <hyperlink ref="B103" r:id="rId92" display="http://office.microsoft.com/client/15/help/preview?AssetId=HA102753254&amp;lcid=1033&amp;NS=EXCEL&amp;Version=15&amp;tl=2&amp;CTT=5&amp;origin=HA102752955"/>
    <hyperlink ref="B104" r:id="rId93" display="http://office.microsoft.com/client/15/help/preview?AssetId=HA102753255&amp;lcid=1033&amp;NS=EXCEL&amp;Version=15&amp;tl=2&amp;CTT=5&amp;origin=HA102752955"/>
    <hyperlink ref="B105" r:id="rId94" display="http://office.microsoft.com/client/15/help/preview?AssetId=HA102753087&amp;lcid=1033&amp;NS=EXCEL&amp;Version=15&amp;tl=2&amp;CTT=5&amp;origin=HA102752955"/>
    <hyperlink ref="B106" r:id="rId95" display="http://office.microsoft.com/client/15/help/preview?AssetId=HA102753208&amp;lcid=1033&amp;NS=EXCEL&amp;Version=15&amp;tl=2&amp;CTT=5&amp;origin=HA102752955"/>
    <hyperlink ref="B107" r:id="rId96" display="http://office.microsoft.com/client/15/help/preview?AssetId=HA102753056&amp;lcid=1033&amp;NS=EXCEL&amp;Version=15&amp;tl=2&amp;CTT=5&amp;origin=HA102752955"/>
    <hyperlink ref="B108" r:id="rId97" display="http://office.microsoft.com/client/15/help/preview?AssetId=HA102753055&amp;lcid=1033&amp;NS=EXCEL&amp;Version=15&amp;tl=2&amp;CTT=5&amp;origin=HA102752955"/>
    <hyperlink ref="B109" r:id="rId98" display="http://office.microsoft.com/client/15/help/preview?AssetId=HA102753054&amp;lcid=1033&amp;NS=EXCEL&amp;Version=15&amp;tl=2&amp;CTT=5&amp;origin=HA102752955"/>
    <hyperlink ref="B110" r:id="rId99" display="http://office.microsoft.com/client/15/help/preview?AssetId=HA102753052&amp;lcid=1033&amp;NS=EXCEL&amp;Version=15&amp;tl=2&amp;CTT=5&amp;origin=HA102752955"/>
    <hyperlink ref="B111" r:id="rId100" display="http://office.microsoft.com/client/15/help/preview?AssetId=HA102753031&amp;lcid=1033&amp;NS=EXCEL&amp;Version=15&amp;tl=2&amp;CTT=5&amp;origin=HA102752955"/>
    <hyperlink ref="B112" r:id="rId101" display="http://office.microsoft.com/client/15/help/preview?AssetId=HA102752807&amp;lcid=1033&amp;NS=EXCEL&amp;Version=15&amp;tl=2&amp;CTT=5&amp;origin=HA102752955"/>
    <hyperlink ref="B113" r:id="rId102" display="http://office.microsoft.com/client/15/help/preview?AssetId=HA102753030&amp;lcid=1033&amp;NS=EXCEL&amp;Version=15&amp;tl=2&amp;CTT=5&amp;origin=HA102752955"/>
    <hyperlink ref="B114" r:id="rId103" display="http://office.microsoft.com/client/15/help/preview?AssetId=HA102752806&amp;lcid=1033&amp;NS=EXCEL&amp;Version=15&amp;tl=2&amp;CTT=5&amp;origin=HA102752955"/>
    <hyperlink ref="B115" r:id="rId104" display="http://office.microsoft.com/client/15/help/preview?AssetId=HA102753005&amp;lcid=1033&amp;NS=EXCEL&amp;Version=15&amp;tl=2&amp;CTT=5&amp;origin=HA102752955"/>
    <hyperlink ref="B116" r:id="rId105" display="http://office.microsoft.com/client/15/help/preview?AssetId=HA102753001&amp;lcid=1033&amp;NS=EXCEL&amp;Version=15&amp;tl=2&amp;CTT=5&amp;origin=HA102752955"/>
    <hyperlink ref="B117" r:id="rId106" display="http://office.microsoft.com/client/15/help/preview?AssetId=HA102753000&amp;lcid=1033&amp;NS=EXCEL&amp;Version=15&amp;tl=2&amp;CTT=5&amp;origin=HA102752955"/>
    <hyperlink ref="B118" r:id="rId107" display="http://office.microsoft.com/client/15/help/preview?AssetId=HA102752999&amp;lcid=1033&amp;NS=EXCEL&amp;Version=15&amp;tl=2&amp;CTT=5&amp;origin=HA102752955"/>
    <hyperlink ref="B119" r:id="rId108" display="http://office.microsoft.com/client/15/help/preview?AssetId=HA102752993&amp;lcid=1033&amp;NS=EXCEL&amp;Version=15&amp;tl=2&amp;CTT=5&amp;origin=HA102752955"/>
    <hyperlink ref="B120" r:id="rId109" display="http://office.microsoft.com/client/15/help/preview?AssetId=HA102752992&amp;lcid=1033&amp;NS=EXCEL&amp;Version=15&amp;tl=2&amp;CTT=5&amp;origin=HA102752955"/>
    <hyperlink ref="B121" r:id="rId110" display="http://office.microsoft.com/client/15/help/preview?AssetId=HA102752991&amp;lcid=1033&amp;NS=EXCEL&amp;Version=15&amp;tl=2&amp;CTT=5&amp;origin=HA102752955"/>
    <hyperlink ref="B122" r:id="rId111" display="http://office.microsoft.com/client/15/help/preview?AssetId=HA102752990&amp;lcid=1033&amp;NS=EXCEL&amp;Version=15&amp;tl=2&amp;CTT=5&amp;origin=HA102752955"/>
    <hyperlink ref="B123" r:id="rId112" display="http://office.microsoft.com/client/15/help/preview?AssetId=HA102752989&amp;lcid=1033&amp;NS=EXCEL&amp;Version=15&amp;tl=2&amp;CTT=5&amp;origin=HA102752955"/>
    <hyperlink ref="B124" r:id="rId113" display="http://office.microsoft.com/client/15/help/preview?AssetId=HA102753282&amp;lcid=1033&amp;NS=EXCEL&amp;Version=15&amp;tl=2&amp;CTT=5&amp;origin=HA102752955"/>
    <hyperlink ref="B125" r:id="rId114" display="http://office.microsoft.com/client/15/help/preview?AssetId=HA102753283&amp;lcid=1033&amp;NS=EXCEL&amp;Version=15&amp;tl=2&amp;CTT=5&amp;origin=HA102752955"/>
    <hyperlink ref="B126" r:id="rId115" display="http://office.microsoft.com/client/15/help/preview?AssetId=HA102753284&amp;lcid=1033&amp;NS=EXCEL&amp;Version=15&amp;tl=2&amp;CTT=5&amp;origin=HA102752955"/>
    <hyperlink ref="B127" r:id="rId116" display="http://office.microsoft.com/client/15/help/preview?AssetId=HA102753285&amp;lcid=1033&amp;NS=EXCEL&amp;Version=15&amp;tl=2&amp;CTT=5&amp;origin=HA102752955"/>
    <hyperlink ref="B128" r:id="rId117" display="http://office.microsoft.com/client/15/help/preview?AssetId=HA102752988&amp;lcid=1033&amp;NS=EXCEL&amp;Version=15&amp;tl=2&amp;CTT=5&amp;origin=HA102752955"/>
    <hyperlink ref="B129" r:id="rId118" display="http://office.microsoft.com/client/15/help/preview?AssetId=HA102752987&amp;lcid=1033&amp;NS=EXCEL&amp;Version=15&amp;tl=2&amp;CTT=5&amp;origin=HA102752955"/>
    <hyperlink ref="B130" r:id="rId119" display="http://office.microsoft.com/client/15/help/preview?AssetId=HA102752986&amp;lcid=1033&amp;NS=EXCEL&amp;Version=15&amp;tl=2&amp;CTT=5&amp;origin=HA102752955"/>
    <hyperlink ref="B131" r:id="rId120" display="http://office.microsoft.com/client/15/help/preview?AssetId=HA102752985&amp;lcid=1033&amp;NS=EXCEL&amp;Version=15&amp;tl=2&amp;CTT=5&amp;origin=HA102752955"/>
    <hyperlink ref="B132" r:id="rId121" display="http://office.microsoft.com/client/15/help/preview?AssetId=HA102752984&amp;lcid=1033&amp;NS=EXCEL&amp;Version=15&amp;tl=2&amp;CTT=5&amp;origin=HA102752955"/>
    <hyperlink ref="B133" r:id="rId122" display="http://office.microsoft.com/client/15/help/preview?AssetId=HA102752983&amp;lcid=1033&amp;NS=EXCEL&amp;Version=15&amp;tl=2&amp;CTT=5&amp;origin=HA102752955"/>
    <hyperlink ref="B134" r:id="rId123" display="http://office.microsoft.com/client/15/help/preview?AssetId=HA102752982&amp;lcid=1033&amp;NS=EXCEL&amp;Version=15&amp;tl=2&amp;CTT=5&amp;origin=HA102752955"/>
    <hyperlink ref="B135" r:id="rId124" display="http://office.microsoft.com/client/15/help/preview?AssetId=HA102752981&amp;lcid=1033&amp;NS=EXCEL&amp;Version=15&amp;tl=2&amp;CTT=5&amp;origin=HA102752955"/>
    <hyperlink ref="B136" r:id="rId125" display="http://office.microsoft.com/client/15/help/preview?AssetId=HA102753287&amp;lcid=1033&amp;NS=EXCEL&amp;Version=15&amp;tl=2&amp;CTT=5&amp;origin=HA102752955"/>
    <hyperlink ref="B137" r:id="rId126" display="http://office.microsoft.com/client/15/help/preview?AssetId=HA102753288&amp;lcid=1033&amp;NS=EXCEL&amp;Version=15&amp;tl=2&amp;CTT=5&amp;origin=HA102752955"/>
    <hyperlink ref="B138" r:id="rId127" display="http://office.microsoft.com/client/15/help/preview?AssetId=HA102752980&amp;lcid=1033&amp;NS=EXCEL&amp;Version=15&amp;tl=2&amp;CTT=5&amp;origin=HA102752955"/>
    <hyperlink ref="B139" r:id="rId128" display="http://office.microsoft.com/client/15/help/preview?AssetId=HA102753289&amp;lcid=1033&amp;NS=EXCEL&amp;Version=15&amp;tl=2&amp;CTT=5&amp;origin=HA102752955"/>
    <hyperlink ref="B140" r:id="rId129" display="http://office.microsoft.com/client/15/help/preview?AssetId=HA102752979&amp;lcid=1033&amp;NS=EXCEL&amp;Version=15&amp;tl=2&amp;CTT=5&amp;origin=HA102752955"/>
    <hyperlink ref="B141" r:id="rId130" display="http://office.microsoft.com/client/15/help/preview?AssetId=HA102752978&amp;lcid=1033&amp;NS=EXCEL&amp;Version=15&amp;tl=2&amp;CTT=5&amp;origin=HA102752955"/>
    <hyperlink ref="B142" r:id="rId131" display="http://office.microsoft.com/client/15/help/preview?AssetId=HA102752977&amp;lcid=1033&amp;NS=EXCEL&amp;Version=15&amp;tl=2&amp;CTT=5&amp;origin=HA102752955"/>
    <hyperlink ref="B143" r:id="rId132" display="http://office.microsoft.com/client/15/help/preview?AssetId=HA102753286&amp;lcid=1033&amp;NS=EXCEL&amp;Version=15&amp;tl=2&amp;CTT=5&amp;origin=HA102752955"/>
    <hyperlink ref="B144" r:id="rId133" display="http://office.microsoft.com/client/15/help/preview?AssetId=HA102752918&amp;lcid=1033&amp;NS=EXCEL&amp;Version=15&amp;tl=2&amp;CTT=5&amp;origin=HA102752955"/>
    <hyperlink ref="B145" r:id="rId134" display="http://office.microsoft.com/client/15/help/preview?AssetId=HA102752917&amp;lcid=1033&amp;NS=EXCEL&amp;Version=15&amp;tl=2&amp;CTT=5&amp;origin=HA102752955"/>
    <hyperlink ref="B146" r:id="rId135" display="http://office.microsoft.com/client/15/help/preview?AssetId=HA102752916&amp;lcid=1033&amp;NS=EXCEL&amp;Version=15&amp;tl=2&amp;CTT=5&amp;origin=HA102752955"/>
    <hyperlink ref="B149" r:id="rId136" display="http://office.microsoft.com/client/15/help/preview?AssetId=HA102753127&amp;lcid=1033&amp;NS=EXCEL&amp;Version=15&amp;tl=2&amp;CTT=5&amp;origin=HA102752955"/>
    <hyperlink ref="B150" r:id="rId137" display="http://office.microsoft.com/client/15/help/preview?AssetId=HA102753126&amp;lcid=1033&amp;NS=EXCEL&amp;Version=15&amp;tl=2&amp;CTT=5&amp;origin=HA102752955"/>
    <hyperlink ref="B151" r:id="rId138" display="http://office.microsoft.com/client/15/help/preview?AssetId=HA102753121&amp;lcid=1033&amp;NS=EXCEL&amp;Version=15&amp;tl=2&amp;CTT=5&amp;origin=HA102752955"/>
    <hyperlink ref="B152" r:id="rId139" display="http://office.microsoft.com/client/15/help/preview?AssetId=HA102753119&amp;lcid=1033&amp;NS=EXCEL&amp;Version=15&amp;tl=2&amp;CTT=5&amp;origin=HA102752955"/>
    <hyperlink ref="B153" r:id="rId140" display="http://office.microsoft.com/client/15/help/preview?AssetId=HA102753076&amp;lcid=1033&amp;NS=EXCEL&amp;Version=15&amp;tl=2&amp;CTT=5&amp;origin=HA102752955"/>
    <hyperlink ref="B154" r:id="rId141" display="http://office.microsoft.com/client/15/help/preview?AssetId=HA102753075&amp;lcid=1033&amp;NS=EXCEL&amp;Version=15&amp;tl=2&amp;CTT=5&amp;origin=HA102752955"/>
    <hyperlink ref="B155" r:id="rId142" display="http://office.microsoft.com/client/15/help/preview?AssetId=HA102753074&amp;lcid=1033&amp;NS=EXCEL&amp;Version=15&amp;tl=2&amp;CTT=5&amp;origin=HA102752955"/>
    <hyperlink ref="B156" r:id="rId143" display="http://office.microsoft.com/client/15/help/preview?AssetId=HA102753073&amp;lcid=1033&amp;NS=EXCEL&amp;Version=15&amp;tl=2&amp;CTT=5&amp;origin=HA102752955"/>
    <hyperlink ref="B157" r:id="rId144" display="http://office.microsoft.com/client/15/help/preview?AssetId=HA102753072&amp;lcid=1033&amp;NS=EXCEL&amp;Version=15&amp;tl=2&amp;CTT=5&amp;origin=HA102752955"/>
    <hyperlink ref="B158" r:id="rId145" display="http://office.microsoft.com/client/15/help/preview?AssetId=HA102753071&amp;lcid=1033&amp;NS=EXCEL&amp;Version=15&amp;tl=2&amp;CTT=5&amp;origin=HA102752955"/>
    <hyperlink ref="B159" r:id="rId146" display="http://office.microsoft.com/client/15/help/preview?AssetId=HA102753070&amp;lcid=1033&amp;NS=EXCEL&amp;Version=15&amp;tl=2&amp;CTT=5&amp;origin=HA102752955"/>
    <hyperlink ref="B160" r:id="rId147" display="http://office.microsoft.com/client/15/help/preview?AssetId=HA102753069&amp;lcid=1033&amp;NS=EXCEL&amp;Version=15&amp;tl=2&amp;CTT=5&amp;origin=HA102752955"/>
    <hyperlink ref="B161" r:id="rId148" display="http://office.microsoft.com/client/15/help/preview?AssetId=HA102753061&amp;lcid=1033&amp;NS=EXCEL&amp;Version=15&amp;tl=2&amp;CTT=5&amp;origin=HA102752955"/>
    <hyperlink ref="B162" r:id="rId149" display="http://office.microsoft.com/client/15/help/preview?AssetId=HA102753057&amp;lcid=1033&amp;NS=EXCEL&amp;Version=15&amp;tl=2&amp;CTT=5&amp;origin=HA102752955"/>
    <hyperlink ref="B163" r:id="rId150" display="http://office.microsoft.com/client/15/help/preview?AssetId=HA102753049&amp;lcid=1033&amp;NS=EXCEL&amp;Version=15&amp;tl=2&amp;CTT=5&amp;origin=HA102752955"/>
    <hyperlink ref="B164" r:id="rId151" display="http://office.microsoft.com/client/15/help/preview?AssetId=HA102753045&amp;lcid=1033&amp;NS=EXCEL&amp;Version=15&amp;tl=2&amp;CTT=5&amp;origin=HA102752955"/>
    <hyperlink ref="B165" r:id="rId152" display="http://office.microsoft.com/client/15/help/preview?AssetId=HA102753044&amp;lcid=1033&amp;NS=EXCEL&amp;Version=15&amp;tl=2&amp;CTT=5&amp;origin=HA102752955"/>
    <hyperlink ref="B166" r:id="rId153" display="http://office.microsoft.com/client/15/help/preview?AssetId=HA102753039&amp;lcid=1033&amp;NS=EXCEL&amp;Version=15&amp;tl=2&amp;CTT=5&amp;origin=HA102752955"/>
    <hyperlink ref="B167" r:id="rId154" display="http://office.microsoft.com/client/15/help/preview?AssetId=HA102753034&amp;lcid=1033&amp;NS=EXCEL&amp;Version=15&amp;tl=2&amp;CTT=5&amp;origin=HA102752955"/>
    <hyperlink ref="B168" r:id="rId155" display="http://office.microsoft.com/client/15/help/preview?AssetId=HA102753010&amp;lcid=1033&amp;NS=EXCEL&amp;Version=15&amp;tl=2&amp;CTT=5&amp;origin=HA102752955"/>
    <hyperlink ref="B169" r:id="rId156" display="http://office.microsoft.com/client/15/help/preview?AssetId=HA102753009&amp;lcid=1033&amp;NS=EXCEL&amp;Version=15&amp;tl=2&amp;CTT=5&amp;origin=HA102752955"/>
    <hyperlink ref="B170" r:id="rId157" display="http://office.microsoft.com/client/15/help/preview?AssetId=HA102752970&amp;lcid=1033&amp;NS=EXCEL&amp;Version=15&amp;tl=2&amp;CTT=5&amp;origin=HA102752955"/>
    <hyperlink ref="B171" r:id="rId158" display="http://office.microsoft.com/client/15/help/preview?AssetId=HA102752968&amp;lcid=1033&amp;NS=EXCEL&amp;Version=15&amp;tl=2&amp;CTT=5&amp;origin=HA102752955"/>
    <hyperlink ref="B172" r:id="rId159" display="http://office.microsoft.com/client/15/help/preview?AssetId=HA102752967&amp;lcid=1033&amp;NS=EXCEL&amp;Version=15&amp;tl=2&amp;CTT=5&amp;origin=HA102752955"/>
    <hyperlink ref="B173" r:id="rId160" display="http://office.microsoft.com/client/15/help/preview?AssetId=HA102752963&amp;lcid=1033&amp;NS=EXCEL&amp;Version=15&amp;tl=2&amp;CTT=5&amp;origin=HA102752955"/>
    <hyperlink ref="B174" r:id="rId161" display="http://office.microsoft.com/client/15/help/preview?AssetId=HA102752939&amp;lcid=1033&amp;NS=EXCEL&amp;Version=15&amp;tl=2&amp;CTT=5&amp;origin=HA102752955"/>
    <hyperlink ref="B175" r:id="rId162" display="http://office.microsoft.com/client/15/help/preview?AssetId=HA102752932&amp;lcid=1033&amp;NS=EXCEL&amp;Version=15&amp;tl=2&amp;CTT=5&amp;origin=HA102752955"/>
    <hyperlink ref="B176" r:id="rId163" display="http://office.microsoft.com/client/15/help/preview?AssetId=HA102753459&amp;lcid=1033&amp;NS=EXCEL&amp;Version=15&amp;tl=2&amp;CTT=5&amp;origin=HA102752955"/>
    <hyperlink ref="B177" r:id="rId164" display="http://office.microsoft.com/client/15/help/preview?AssetId=HA102752920&amp;lcid=1033&amp;NS=EXCEL&amp;Version=15&amp;tl=2&amp;CTT=5&amp;origin=HA102752955"/>
    <hyperlink ref="B178" r:id="rId165" display="http://office.microsoft.com/client/15/help/preview?AssetId=HA102752919&amp;lcid=1033&amp;NS=EXCEL&amp;Version=15&amp;tl=2&amp;CTT=5&amp;origin=HA102752955"/>
    <hyperlink ref="B179" r:id="rId166" display="http://office.microsoft.com/client/15/help/preview?AssetId=HA102752914&amp;lcid=1033&amp;NS=EXCEL&amp;Version=15&amp;tl=2&amp;CTT=5&amp;origin=HA102752955"/>
    <hyperlink ref="B180" r:id="rId167" display="http://office.microsoft.com/client/15/help/preview?AssetId=HA102752913&amp;lcid=1033&amp;NS=EXCEL&amp;Version=15&amp;tl=2&amp;CTT=5&amp;origin=HA102752955"/>
    <hyperlink ref="B181" r:id="rId168" display="http://office.microsoft.com/client/15/help/preview?AssetId=HA102752912&amp;lcid=1033&amp;NS=EXCEL&amp;Version=15&amp;tl=2&amp;CTT=5&amp;origin=HA102752955"/>
    <hyperlink ref="B182" r:id="rId169" display="http://office.microsoft.com/client/15/help/preview?AssetId=HA102752911&amp;lcid=1033&amp;NS=EXCEL&amp;Version=15&amp;tl=2&amp;CTT=5&amp;origin=HA102752955"/>
    <hyperlink ref="B183" r:id="rId170" display="http://office.microsoft.com/client/15/help/preview?AssetId=HA102753293&amp;lcid=1033&amp;NS=EXCEL&amp;Version=15&amp;tl=2&amp;CTT=5&amp;origin=HA102752955"/>
    <hyperlink ref="B184" r:id="rId171" display="http://office.microsoft.com/client/15/help/preview?AssetId=HA102752903&amp;lcid=1033&amp;NS=EXCEL&amp;Version=15&amp;tl=2&amp;CTT=5&amp;origin=HA102752955"/>
    <hyperlink ref="B185" r:id="rId172" display="http://office.microsoft.com/client/15/help/preview?AssetId=HA102752901&amp;lcid=1033&amp;NS=EXCEL&amp;Version=15&amp;tl=2&amp;CTT=5&amp;origin=HA102752955"/>
    <hyperlink ref="B186" r:id="rId173" display="http://office.microsoft.com/client/15/help/preview?AssetId=HA102752900&amp;lcid=1033&amp;NS=EXCEL&amp;Version=15&amp;tl=2&amp;CTT=5&amp;origin=HA102752955"/>
    <hyperlink ref="B187" r:id="rId174" display="http://office.microsoft.com/client/15/help/preview?AssetId=HA102752899&amp;lcid=1033&amp;NS=EXCEL&amp;Version=15&amp;tl=2&amp;CTT=5&amp;origin=HA102752955"/>
    <hyperlink ref="B188" r:id="rId175" display="http://office.microsoft.com/client/15/help/preview?AssetId=HA102752898&amp;lcid=1033&amp;NS=EXCEL&amp;Version=15&amp;tl=2&amp;CTT=5&amp;origin=HA102752955"/>
    <hyperlink ref="B189" r:id="rId176" display="http://office.microsoft.com/client/15/help/preview?AssetId=HA102752894&amp;lcid=1033&amp;NS=EXCEL&amp;Version=15&amp;tl=2&amp;CTT=5&amp;origin=HA102752955"/>
    <hyperlink ref="B190" r:id="rId177" display="http://office.microsoft.com/client/15/help/preview?AssetId=HA102752889&amp;lcid=1033&amp;NS=EXCEL&amp;Version=15&amp;tl=2&amp;CTT=5&amp;origin=HA102752955"/>
    <hyperlink ref="B191" r:id="rId178" display="http://office.microsoft.com/client/15/help/preview?AssetId=HA102752888&amp;lcid=1033&amp;NS=EXCEL&amp;Version=15&amp;tl=2&amp;CTT=5&amp;origin=HA102752955"/>
    <hyperlink ref="B192" r:id="rId179" display="http://office.microsoft.com/client/15/help/preview?AssetId=HA102753267&amp;lcid=1033&amp;NS=EXCEL&amp;Version=15&amp;tl=2&amp;CTT=5&amp;origin=HA102752955"/>
    <hyperlink ref="B193" r:id="rId180" display="http://office.microsoft.com/client/15/help/preview?AssetId=HA102752868&amp;lcid=1033&amp;NS=EXCEL&amp;Version=15&amp;tl=2&amp;CTT=5&amp;origin=HA102752955"/>
    <hyperlink ref="B194" r:id="rId181" display="http://office.microsoft.com/client/15/help/preview?AssetId=HA102752847&amp;lcid=1033&amp;NS=EXCEL&amp;Version=15&amp;tl=2&amp;CTT=5&amp;origin=HA102752955"/>
    <hyperlink ref="B195" r:id="rId182" display="http://office.microsoft.com/client/15/help/preview?AssetId=HA102752843&amp;lcid=1033&amp;NS=EXCEL&amp;Version=15&amp;tl=2&amp;CTT=5&amp;origin=HA102752955"/>
    <hyperlink ref="B196" r:id="rId183" display="http://office.microsoft.com/client/15/help/preview?AssetId=HA102752842&amp;lcid=1033&amp;NS=EXCEL&amp;Version=15&amp;tl=2&amp;CTT=5&amp;origin=HA102752955"/>
    <hyperlink ref="B197" r:id="rId184" display="http://office.microsoft.com/client/15/help/preview?AssetId=HA102752841&amp;lcid=1033&amp;NS=EXCEL&amp;Version=15&amp;tl=2&amp;CTT=5&amp;origin=HA102752955"/>
    <hyperlink ref="B198" r:id="rId185" display="http://office.microsoft.com/client/15/help/preview?AssetId=HA102752821&amp;lcid=1033&amp;NS=EXCEL&amp;Version=15&amp;tl=2&amp;CTT=5&amp;origin=HA102752955"/>
    <hyperlink ref="B199" r:id="rId186" display="http://office.microsoft.com/client/15/help/preview?AssetId=HA102752816&amp;lcid=1033&amp;NS=EXCEL&amp;Version=15&amp;tl=2&amp;CTT=5&amp;origin=HA102752955"/>
    <hyperlink ref="B200" r:id="rId187" display="http://office.microsoft.com/client/15/help/preview?AssetId=HA102752815&amp;lcid=1033&amp;NS=EXCEL&amp;Version=15&amp;tl=2&amp;CTT=5&amp;origin=HA102752955"/>
    <hyperlink ref="B201" r:id="rId188" display="http://office.microsoft.com/client/15/help/preview?AssetId=HA102752811&amp;lcid=1033&amp;NS=EXCEL&amp;Version=15&amp;tl=2&amp;CTT=5&amp;origin=HA102752955"/>
    <hyperlink ref="B202" r:id="rId189" display="http://office.microsoft.com/client/15/help/preview?AssetId=HA102752810&amp;lcid=1033&amp;NS=EXCEL&amp;Version=15&amp;tl=2&amp;CTT=5&amp;origin=HA102752955"/>
    <hyperlink ref="B203" r:id="rId190" display="http://office.microsoft.com/client/15/help/preview?AssetId=HA102752809&amp;lcid=1033&amp;NS=EXCEL&amp;Version=15&amp;tl=2&amp;CTT=5&amp;origin=HA102752955"/>
    <hyperlink ref="B206" r:id="rId191" display="http://office.microsoft.com/client/15/help/preview?AssetId=HA102753096&amp;lcid=1033&amp;NS=EXCEL&amp;Version=15&amp;tl=2&amp;CTT=5&amp;origin=HA102752955"/>
    <hyperlink ref="B207" r:id="rId192" display="http://office.microsoft.com/client/15/help/preview?AssetId=HA102753029&amp;lcid=1033&amp;NS=EXCEL&amp;Version=15&amp;tl=2&amp;CTT=5&amp;origin=HA102752955"/>
    <hyperlink ref="B208" r:id="rId193" display="http://office.microsoft.com/client/15/help/preview?AssetId=HA102752974&amp;lcid=1033&amp;NS=EXCEL&amp;Version=15&amp;tl=2&amp;CTT=5&amp;origin=HA102752955"/>
    <hyperlink ref="B209" r:id="rId194" display="http://office.microsoft.com/client/15/help/preview?AssetId=HA102752966&amp;lcid=1033&amp;NS=EXCEL&amp;Version=15&amp;tl=2&amp;CTT=5&amp;origin=HA102752955"/>
    <hyperlink ref="B210" r:id="rId195" display="http://office.microsoft.com/client/15/help/preview?AssetId=HA102752966&amp;lcid=1033&amp;NS=EXCEL&amp;Version=15&amp;tl=2&amp;CTT=5&amp;origin=HA102752955"/>
    <hyperlink ref="B211" r:id="rId196" display="http://office.microsoft.com/client/15/help/preview?AssetId=HA102752966&amp;lcid=1033&amp;NS=EXCEL&amp;Version=15&amp;tl=2&amp;CTT=5&amp;origin=HA102752955"/>
    <hyperlink ref="B212" r:id="rId197" display="http://office.microsoft.com/client/15/help/preview?AssetId=HA102752965&amp;lcid=1033&amp;NS=EXCEL&amp;Version=15&amp;tl=2&amp;CTT=5&amp;origin=HA102752955"/>
    <hyperlink ref="B213" r:id="rId198" display="http://office.microsoft.com/client/15/help/preview?AssetId=HA102753291&amp;lcid=1033&amp;NS=EXCEL&amp;Version=15&amp;tl=2&amp;CTT=5&amp;origin=HA102752955"/>
    <hyperlink ref="B214" r:id="rId199" display="http://office.microsoft.com/client/15/help/preview?AssetId=HA102752966&amp;lcid=1033&amp;NS=EXCEL&amp;Version=15&amp;tl=2&amp;CTT=5&amp;origin=HA102752955"/>
    <hyperlink ref="B215" r:id="rId200" display="http://office.microsoft.com/client/15/help/preview?AssetId=HA102752966&amp;lcid=1033&amp;NS=EXCEL&amp;Version=15&amp;tl=2&amp;CTT=5&amp;origin=HA102752955"/>
    <hyperlink ref="B216" r:id="rId201" display="http://office.microsoft.com/client/15/help/preview?AssetId=HA102752966&amp;lcid=1033&amp;NS=EXCEL&amp;Version=15&amp;tl=2&amp;CTT=5&amp;origin=HA102752955"/>
    <hyperlink ref="B217" r:id="rId202" display="http://office.microsoft.com/client/15/help/preview?AssetId=HA102752966&amp;lcid=1033&amp;NS=EXCEL&amp;Version=15&amp;tl=2&amp;CTT=5&amp;origin=HA102752955"/>
    <hyperlink ref="B218" r:id="rId203" display="http://office.microsoft.com/client/15/help/preview?AssetId=HA102752966&amp;lcid=1033&amp;NS=EXCEL&amp;Version=15&amp;tl=2&amp;CTT=5&amp;origin=HA102752955"/>
    <hyperlink ref="B219" r:id="rId204" display="http://office.microsoft.com/client/15/help/preview?AssetId=HA102752966&amp;lcid=1033&amp;NS=EXCEL&amp;Version=15&amp;tl=2&amp;CTT=5&amp;origin=HA102752955"/>
    <hyperlink ref="B220" r:id="rId205" display="http://office.microsoft.com/client/15/help/preview?AssetId=HA102752966&amp;lcid=1033&amp;NS=EXCEL&amp;Version=15&amp;tl=2&amp;CTT=5&amp;origin=HA102752955"/>
    <hyperlink ref="B221" r:id="rId206" display="http://office.microsoft.com/client/15/help/preview?AssetId=HA102752926&amp;lcid=1033&amp;NS=EXCEL&amp;Version=15&amp;tl=2&amp;CTT=5&amp;origin=HA102752955"/>
    <hyperlink ref="B222" r:id="rId207" display="http://office.microsoft.com/client/15/help/preview?AssetId=HA102752925&amp;lcid=1033&amp;NS=EXCEL&amp;Version=15&amp;tl=2&amp;CTT=5&amp;origin=HA102752955"/>
    <hyperlink ref="B223" r:id="rId208" display="http://office.microsoft.com/client/15/help/preview?AssetId=HA102753270&amp;lcid=1033&amp;NS=EXCEL&amp;Version=15&amp;tl=2&amp;CTT=5&amp;origin=HA102752955"/>
    <hyperlink ref="B224" r:id="rId209" display="http://office.microsoft.com/client/15/help/preview?AssetId=HA102753271&amp;lcid=1033&amp;NS=EXCEL&amp;Version=15&amp;tl=2&amp;CTT=5&amp;origin=HA102752955"/>
    <hyperlink ref="B225" r:id="rId210" display="http://office.microsoft.com/client/15/help/preview?AssetId=HA102752827&amp;lcid=1033&amp;NS=EXCEL&amp;Version=15&amp;tl=2&amp;CTT=5&amp;origin=HA102752955"/>
    <hyperlink ref="B228" r:id="rId211" display="http://office.microsoft.com/client/15/help/preview?AssetId=HA102753118&amp;lcid=1033&amp;NS=EXCEL&amp;Version=15&amp;tl=2&amp;CTT=5&amp;origin=HA102752955"/>
    <hyperlink ref="B229" r:id="rId212" display="http://office.microsoft.com/client/15/help/preview?AssetId=HA102753022&amp;lcid=1033&amp;NS=EXCEL&amp;Version=15&amp;tl=2&amp;CTT=5&amp;origin=HA102752955"/>
    <hyperlink ref="B230" r:id="rId213" display="http://office.microsoft.com/client/15/help/preview?AssetId=HA102752994&amp;lcid=1033&amp;NS=EXCEL&amp;Version=15&amp;tl=2&amp;CTT=5&amp;origin=HA102752955"/>
    <hyperlink ref="B231" r:id="rId214" display="http://office.microsoft.com/client/15/help/preview?AssetId=HA102753228&amp;lcid=1033&amp;NS=EXCEL&amp;Version=15&amp;tl=2&amp;CTT=5&amp;origin=HA102752955"/>
    <hyperlink ref="B232" r:id="rId215" display="http://office.microsoft.com/client/15/help/preview?AssetId=HA102753281&amp;lcid=1033&amp;NS=EXCEL&amp;Version=15&amp;tl=2&amp;CTT=5&amp;origin=HA102752955"/>
    <hyperlink ref="B233" r:id="rId216" display="http://office.microsoft.com/client/15/help/preview?AssetId=HA102752922&amp;lcid=1033&amp;NS=EXCEL&amp;Version=15&amp;tl=2&amp;CTT=5&amp;origin=HA102752955"/>
    <hyperlink ref="B234" r:id="rId217" display="http://office.microsoft.com/client/15/help/preview?AssetId=HA102752909&amp;lcid=1033&amp;NS=EXCEL&amp;Version=15&amp;tl=2&amp;CTT=5&amp;origin=HA102752955"/>
    <hyperlink ref="B235" r:id="rId218" display="http://office.microsoft.com/client/15/help/preview?AssetId=HA102752829&amp;lcid=1033&amp;NS=EXCEL&amp;Version=15&amp;tl=2&amp;CTT=5&amp;origin=HA102752955"/>
    <hyperlink ref="B236" r:id="rId219" display="http://office.microsoft.com/client/15/help/preview?AssetId=HA102753272&amp;lcid=1033&amp;NS=EXCEL&amp;Version=15&amp;tl=2&amp;CTT=5&amp;origin=HA102752955"/>
    <hyperlink ref="B239" r:id="rId220" display="http://office.microsoft.com/client/15/help/preview?AssetId=HA102753122&amp;lcid=1033&amp;NS=EXCEL&amp;Version=15&amp;tl=2&amp;CTT=5&amp;origin=HA102752955"/>
    <hyperlink ref="B240" r:id="rId221" display="http://office.microsoft.com/client/15/help/preview?AssetId=HA102753117&amp;lcid=1033&amp;NS=EXCEL&amp;Version=15&amp;tl=2&amp;CTT=5&amp;origin=HA102752955"/>
    <hyperlink ref="B241" r:id="rId222" display="http://office.microsoft.com/client/15/help/preview?AssetId=HA102753094&amp;lcid=1033&amp;NS=EXCEL&amp;Version=15&amp;tl=2&amp;CTT=5&amp;origin=HA102752955"/>
    <hyperlink ref="B242" r:id="rId223" display="http://office.microsoft.com/client/15/help/preview?AssetId=HA102753091&amp;lcid=1033&amp;NS=EXCEL&amp;Version=15&amp;tl=2&amp;CTT=5&amp;origin=HA102752955"/>
    <hyperlink ref="B243" r:id="rId224" display="http://office.microsoft.com/client/15/help/preview?AssetId=HA102753089&amp;lcid=1033&amp;NS=EXCEL&amp;Version=15&amp;tl=2&amp;CTT=5&amp;origin=HA102752955"/>
    <hyperlink ref="B244" r:id="rId225" display="http://office.microsoft.com/client/15/help/preview?AssetId=HA102753280&amp;lcid=1033&amp;NS=EXCEL&amp;Version=15&amp;tl=2&amp;CTT=5&amp;origin=HA102752955"/>
    <hyperlink ref="B245" r:id="rId226" display="http://office.microsoft.com/client/15/help/preview?AssetId=HA102753004&amp;lcid=1033&amp;NS=EXCEL&amp;Version=15&amp;tl=2&amp;CTT=5&amp;origin=HA102752955"/>
    <hyperlink ref="B246" r:id="rId227" display="http://office.microsoft.com/client/15/help/preview?AssetId=HA102752997&amp;lcid=1033&amp;NS=EXCEL&amp;Version=15&amp;tl=2&amp;CTT=5&amp;origin=HA102752955"/>
    <hyperlink ref="B247" r:id="rId228" display="http://office.microsoft.com/client/15/help/preview?AssetId=HA102752995&amp;lcid=1033&amp;NS=EXCEL&amp;Version=15&amp;tl=2&amp;CTT=5&amp;origin=HA102752955"/>
    <hyperlink ref="B248" r:id="rId229" display="http://office.microsoft.com/client/15/help/preview?AssetId=HA102752976&amp;lcid=1033&amp;NS=EXCEL&amp;Version=15&amp;tl=2&amp;CTT=5&amp;origin=HA102752955"/>
    <hyperlink ref="B249" r:id="rId230" display="http://office.microsoft.com/client/15/help/preview?AssetId=HA102752975&amp;lcid=1033&amp;NS=EXCEL&amp;Version=15&amp;tl=2&amp;CTT=5&amp;origin=HA102752955"/>
    <hyperlink ref="B250" r:id="rId231" display="http://office.microsoft.com/client/15/help/preview?AssetId=HA102752947&amp;lcid=1033&amp;NS=EXCEL&amp;Version=15&amp;tl=2&amp;CTT=5&amp;origin=HA102752955"/>
    <hyperlink ref="B251" r:id="rId232" display="http://office.microsoft.com/client/15/help/preview?AssetId=HA102752945&amp;lcid=1033&amp;NS=EXCEL&amp;Version=15&amp;tl=2&amp;CTT=5&amp;origin=HA102752955"/>
    <hyperlink ref="B252" r:id="rId233" display="http://office.microsoft.com/client/15/help/preview?AssetId=HA102752910&amp;lcid=1033&amp;NS=EXCEL&amp;Version=15&amp;tl=2&amp;CTT=5&amp;origin=HA102752955"/>
    <hyperlink ref="B253" r:id="rId234" display="http://office.microsoft.com/client/15/help/preview?AssetId=HA102752879&amp;lcid=1033&amp;NS=EXCEL&amp;Version=15&amp;tl=2&amp;CTT=5&amp;origin=HA102752955"/>
    <hyperlink ref="B254" r:id="rId235" display="http://office.microsoft.com/client/15/help/preview?AssetId=HA102752878&amp;lcid=1033&amp;NS=EXCEL&amp;Version=15&amp;tl=2&amp;CTT=5&amp;origin=HA102752955"/>
    <hyperlink ref="B255" r:id="rId236" display="http://office.microsoft.com/client/15/help/preview?AssetId=HA102752876&amp;lcid=1033&amp;NS=EXCEL&amp;Version=15&amp;tl=2&amp;CTT=5&amp;origin=HA102752955"/>
    <hyperlink ref="B256" r:id="rId237" display="http://office.microsoft.com/client/15/help/preview?AssetId=HA102752833&amp;lcid=1033&amp;NS=EXCEL&amp;Version=15&amp;tl=2&amp;CTT=5&amp;origin=HA102752955"/>
    <hyperlink ref="B257" r:id="rId238" display="http://office.microsoft.com/client/15/help/preview?AssetId=HA102752820&amp;lcid=1033&amp;NS=EXCEL&amp;Version=15&amp;tl=2&amp;CTT=5&amp;origin=HA102752955"/>
    <hyperlink ref="B260" r:id="rId239" display="http://office.microsoft.com/client/15/help/preview?AssetId=HA102753128&amp;lcid=1033&amp;NS=EXCEL&amp;Version=15&amp;tl=2&amp;CTT=5&amp;origin=HA102752955"/>
    <hyperlink ref="B261" r:id="rId240" display="http://office.microsoft.com/client/15/help/preview?AssetId=HA102753125&amp;lcid=1033&amp;NS=EXCEL&amp;Version=15&amp;tl=2&amp;CTT=5&amp;origin=HA102752955"/>
    <hyperlink ref="B262" r:id="rId241" display="http://office.microsoft.com/client/15/help/preview?AssetId=HA102753124&amp;lcid=1033&amp;NS=EXCEL&amp;Version=15&amp;tl=2&amp;CTT=5&amp;origin=HA102752955"/>
    <hyperlink ref="B263" r:id="rId242" display="http://office.microsoft.com/client/15/help/preview?AssetId=HA102753256&amp;lcid=1033&amp;NS=EXCEL&amp;Version=15&amp;tl=2&amp;CTT=5&amp;origin=HA102752955"/>
    <hyperlink ref="B264" r:id="rId243" display="http://office.microsoft.com/client/15/help/preview?AssetId=HA102753257&amp;lcid=1033&amp;NS=EXCEL&amp;Version=15&amp;tl=2&amp;CTT=5&amp;origin=HA102752955"/>
    <hyperlink ref="B265" r:id="rId244" display="http://office.microsoft.com/client/15/help/preview?AssetId=HA102753246&amp;lcid=1033&amp;NS=EXCEL&amp;Version=15&amp;tl=2&amp;CTT=5&amp;origin=HA102752955"/>
    <hyperlink ref="B266" r:id="rId245" display="http://office.microsoft.com/client/15/help/preview?AssetId=HA102753258&amp;lcid=1033&amp;NS=EXCEL&amp;Version=15&amp;tl=2&amp;CTT=5&amp;origin=HA102752955"/>
    <hyperlink ref="B267" r:id="rId246" display="http://office.microsoft.com/client/15/help/preview?AssetId=HA102753115&amp;lcid=1033&amp;NS=EXCEL&amp;Version=15&amp;tl=2&amp;CTT=5&amp;origin=HA102752955"/>
    <hyperlink ref="B268" r:id="rId247" display="http://office.microsoft.com/client/15/help/preview?AssetId=HA102753113&amp;lcid=1033&amp;NS=EXCEL&amp;Version=15&amp;tl=2&amp;CTT=5&amp;origin=HA102752955"/>
    <hyperlink ref="B269" r:id="rId248" display="http://office.microsoft.com/client/15/help/preview?AssetId=HA102753112&amp;lcid=1033&amp;NS=EXCEL&amp;Version=15&amp;tl=2&amp;CTT=5&amp;origin=HA102752955"/>
    <hyperlink ref="B270" r:id="rId249" display="http://office.microsoft.com/client/15/help/preview?AssetId=HA102753111&amp;lcid=1033&amp;NS=EXCEL&amp;Version=15&amp;tl=2&amp;CTT=5&amp;origin=HA102752955"/>
    <hyperlink ref="B271" r:id="rId250" display="http://office.microsoft.com/client/15/help/preview?AssetId=HA102753110&amp;lcid=1033&amp;NS=EXCEL&amp;Version=15&amp;tl=2&amp;CTT=5&amp;origin=HA102752955"/>
    <hyperlink ref="B272" r:id="rId251" display="http://office.microsoft.com/client/15/help/preview?AssetId=HA102753259&amp;lcid=1033&amp;NS=EXCEL&amp;Version=15&amp;tl=2&amp;CTT=5&amp;origin=HA102752955"/>
    <hyperlink ref="B273" r:id="rId252" display="http://office.microsoft.com/client/15/help/preview?AssetId=HA102753097&amp;lcid=1033&amp;NS=EXCEL&amp;Version=15&amp;tl=2&amp;CTT=5&amp;origin=HA102752955"/>
    <hyperlink ref="B274" r:id="rId253" display="http://office.microsoft.com/client/15/help/preview?AssetId=HA102753249&amp;lcid=1033&amp;NS=EXCEL&amp;Version=15&amp;tl=2&amp;CTT=5&amp;origin=HA102752955"/>
    <hyperlink ref="B275" r:id="rId254" display="http://office.microsoft.com/client/15/help/preview?AssetId=HA102753213&amp;lcid=1033&amp;NS=EXCEL&amp;Version=15&amp;tl=2&amp;CTT=5&amp;origin=HA102752955"/>
    <hyperlink ref="B276" r:id="rId255" display="http://office.microsoft.com/client/15/help/preview?AssetId=HA102753088&amp;lcid=1033&amp;NS=EXCEL&amp;Version=15&amp;tl=2&amp;CTT=5&amp;origin=HA102752955"/>
    <hyperlink ref="B277" r:id="rId256" display="http://office.microsoft.com/client/15/help/preview?AssetId=HA102753248&amp;lcid=1033&amp;NS=EXCEL&amp;Version=15&amp;tl=2&amp;CTT=5&amp;origin=HA102752955"/>
    <hyperlink ref="B278" r:id="rId257" display="http://office.microsoft.com/client/15/help/preview?AssetId=HA102753083&amp;lcid=1033&amp;NS=EXCEL&amp;Version=15&amp;tl=2&amp;CTT=5&amp;origin=HA102752955"/>
    <hyperlink ref="B279" r:id="rId258" display="http://office.microsoft.com/client/15/help/preview?AssetId=HA102753082&amp;lcid=1033&amp;NS=EXCEL&amp;Version=15&amp;tl=2&amp;CTT=5&amp;origin=HA102752955"/>
    <hyperlink ref="B280" r:id="rId259" display="http://office.microsoft.com/client/15/help/preview?AssetId=HA102753260&amp;lcid=1033&amp;NS=EXCEL&amp;Version=15&amp;tl=2&amp;CTT=5&amp;origin=HA102752955"/>
    <hyperlink ref="B281" r:id="rId260" display="http://office.microsoft.com/client/15/help/preview?AssetId=HA102753261&amp;lcid=1033&amp;NS=EXCEL&amp;Version=15&amp;tl=2&amp;CTT=5&amp;origin=HA102752955"/>
    <hyperlink ref="B282" r:id="rId261" display="http://office.microsoft.com/client/15/help/preview?AssetId=HA102753262&amp;lcid=1033&amp;NS=EXCEL&amp;Version=15&amp;tl=2&amp;CTT=5&amp;origin=HA102752955"/>
    <hyperlink ref="B283" r:id="rId262" display="http://office.microsoft.com/client/15/help/preview?AssetId=HA102753263&amp;lcid=1033&amp;NS=EXCEL&amp;Version=15&amp;tl=2&amp;CTT=5&amp;origin=HA102752955"/>
    <hyperlink ref="B284" r:id="rId263" display="http://office.microsoft.com/client/15/help/preview?AssetId=HA102753276&amp;lcid=1033&amp;NS=EXCEL&amp;Version=15&amp;tl=2&amp;CTT=5&amp;origin=HA102752955"/>
    <hyperlink ref="B285" r:id="rId264" display="http://office.microsoft.com/client/15/help/preview?AssetId=HA102753053&amp;lcid=1033&amp;NS=EXCEL&amp;Version=15&amp;tl=2&amp;CTT=5&amp;origin=HA102752955"/>
    <hyperlink ref="B286" r:id="rId265" display="http://office.microsoft.com/client/15/help/preview?AssetId=HA102753027&amp;lcid=1033&amp;NS=EXCEL&amp;Version=15&amp;tl=2&amp;CTT=5&amp;origin=HA102752955"/>
    <hyperlink ref="B287" r:id="rId266" display="http://office.microsoft.com/client/15/help/preview?AssetId=HA102753025&amp;lcid=1033&amp;NS=EXCEL&amp;Version=15&amp;tl=2&amp;CTT=5&amp;origin=HA102752955"/>
    <hyperlink ref="B288" r:id="rId267" display="http://office.microsoft.com/client/15/help/preview?AssetId=HA102753024&amp;lcid=1033&amp;NS=EXCEL&amp;Version=15&amp;tl=2&amp;CTT=5&amp;origin=HA102752955"/>
    <hyperlink ref="B289" r:id="rId268" display="http://office.microsoft.com/client/15/help/preview?AssetId=HA102753023&amp;lcid=1033&amp;NS=EXCEL&amp;Version=15&amp;tl=2&amp;CTT=5&amp;origin=HA102752955"/>
    <hyperlink ref="B290" r:id="rId269" display="http://office.microsoft.com/client/15/help/preview?AssetId=HA102753013&amp;lcid=1033&amp;NS=EXCEL&amp;Version=15&amp;tl=2&amp;CTT=5&amp;origin=HA102752955"/>
    <hyperlink ref="B291" r:id="rId270" display="http://office.microsoft.com/client/15/help/preview?AssetId=HA102753279&amp;lcid=1033&amp;NS=EXCEL&amp;Version=15&amp;tl=2&amp;CTT=5&amp;origin=HA102752955"/>
    <hyperlink ref="B292" r:id="rId271" display="http://office.microsoft.com/client/15/help/preview?AssetId=HA102753212&amp;lcid=1033&amp;NS=EXCEL&amp;Version=15&amp;tl=2&amp;CTT=5&amp;origin=HA102752955"/>
    <hyperlink ref="B293" r:id="rId272" display="http://office.microsoft.com/client/15/help/preview?AssetId=HA102753007&amp;lcid=1033&amp;NS=EXCEL&amp;Version=15&amp;tl=2&amp;CTT=5&amp;origin=HA102752955"/>
    <hyperlink ref="B294" r:id="rId273" display="http://office.microsoft.com/client/15/help/preview?AssetId=HA102752972&amp;lcid=1033&amp;NS=EXCEL&amp;Version=15&amp;tl=2&amp;CTT=5&amp;origin=HA102752955"/>
    <hyperlink ref="B295" r:id="rId274" display="http://office.microsoft.com/client/15/help/preview?AssetId=HA102753214&amp;lcid=1033&amp;NS=EXCEL&amp;Version=15&amp;tl=2&amp;CTT=5&amp;origin=HA102752955"/>
    <hyperlink ref="B296" r:id="rId275" display="http://office.microsoft.com/client/15/help/preview?AssetId=HA102752959&amp;lcid=1033&amp;NS=EXCEL&amp;Version=15&amp;tl=2&amp;CTT=5&amp;origin=HA102752955"/>
    <hyperlink ref="B297" r:id="rId276" display="http://office.microsoft.com/client/15/help/preview?AssetId=HA102752954&amp;lcid=1033&amp;NS=EXCEL&amp;Version=15&amp;tl=2&amp;CTT=5&amp;origin=HA102752955"/>
    <hyperlink ref="B298" r:id="rId277" display="http://office.microsoft.com/client/15/help/preview?AssetId=HA102752953&amp;lcid=1033&amp;NS=EXCEL&amp;Version=15&amp;tl=2&amp;CTT=5&amp;origin=HA102752955"/>
    <hyperlink ref="B299" r:id="rId278" display="http://office.microsoft.com/client/15/help/preview?AssetId=HA102752952&amp;lcid=1033&amp;NS=EXCEL&amp;Version=15&amp;tl=2&amp;CTT=5&amp;origin=HA102752955"/>
    <hyperlink ref="B300" r:id="rId279" display="http://office.microsoft.com/client/15/help/preview?AssetId=HA102752940&amp;lcid=1033&amp;NS=EXCEL&amp;Version=15&amp;tl=2&amp;CTT=5&amp;origin=HA102752955"/>
    <hyperlink ref="B301" r:id="rId280" display="http://office.microsoft.com/client/15/help/preview?AssetId=HA102752933&amp;lcid=1033&amp;NS=EXCEL&amp;Version=15&amp;tl=2&amp;CTT=5&amp;origin=HA102752955"/>
    <hyperlink ref="B302" r:id="rId281" display="http://office.microsoft.com/client/15/help/preview?AssetId=HA102752931&amp;lcid=1033&amp;NS=EXCEL&amp;Version=15&amp;tl=2&amp;CTT=5&amp;origin=HA102752955"/>
    <hyperlink ref="B303" r:id="rId282" display="http://office.microsoft.com/client/15/help/preview?AssetId=HA102752930&amp;lcid=1033&amp;NS=EXCEL&amp;Version=15&amp;tl=2&amp;CTT=5&amp;origin=HA102752955"/>
    <hyperlink ref="B304" r:id="rId283" display="http://office.microsoft.com/client/15/help/preview?AssetId=HA102752928&amp;lcid=1033&amp;NS=EXCEL&amp;Version=15&amp;tl=2&amp;CTT=5&amp;origin=HA102752955"/>
    <hyperlink ref="B305" r:id="rId284" display="http://office.microsoft.com/client/15/help/preview?AssetId=HA102752927&amp;lcid=1033&amp;NS=EXCEL&amp;Version=15&amp;tl=2&amp;CTT=5&amp;origin=HA102752955"/>
    <hyperlink ref="B306" r:id="rId285" display="http://office.microsoft.com/client/15/help/preview?AssetId=HA102753292&amp;lcid=1033&amp;NS=EXCEL&amp;Version=15&amp;tl=2&amp;CTT=5&amp;origin=HA102752955"/>
    <hyperlink ref="B307" r:id="rId286" display="http://office.microsoft.com/client/15/help/preview?AssetId=HA102752915&amp;lcid=1033&amp;NS=EXCEL&amp;Version=15&amp;tl=2&amp;CTT=5&amp;origin=HA102752955"/>
    <hyperlink ref="B308" r:id="rId287" display="http://office.microsoft.com/client/15/help/preview?AssetId=HA102752904&amp;lcid=1033&amp;NS=EXCEL&amp;Version=15&amp;tl=2&amp;CTT=5&amp;origin=HA102752955"/>
    <hyperlink ref="B309" r:id="rId288" display="http://office.microsoft.com/client/15/help/preview?AssetId=HA102752902&amp;lcid=1033&amp;NS=EXCEL&amp;Version=15&amp;tl=2&amp;CTT=5&amp;origin=HA102752955"/>
    <hyperlink ref="B310" r:id="rId289" display="http://office.microsoft.com/client/15/help/preview?AssetId=HA102752896&amp;lcid=1033&amp;NS=EXCEL&amp;Version=15&amp;tl=2&amp;CTT=5&amp;origin=HA102752955"/>
    <hyperlink ref="B311" r:id="rId290" display="http://office.microsoft.com/client/15/help/preview?AssetId=HA102752893&amp;lcid=1033&amp;NS=EXCEL&amp;Version=15&amp;tl=2&amp;CTT=5&amp;origin=HA102752955"/>
    <hyperlink ref="B312" r:id="rId291" display="http://office.microsoft.com/client/15/help/preview?AssetId=HA102752892&amp;lcid=1033&amp;NS=EXCEL&amp;Version=15&amp;tl=2&amp;CTT=5&amp;origin=HA102752955"/>
    <hyperlink ref="B313" r:id="rId292" display="http://office.microsoft.com/client/15/help/preview?AssetId=HA102752891&amp;lcid=1033&amp;NS=EXCEL&amp;Version=15&amp;tl=2&amp;CTT=5&amp;origin=HA102752955"/>
    <hyperlink ref="B314" r:id="rId293" display="http://office.microsoft.com/client/15/help/preview?AssetId=HA102752890&amp;lcid=1033&amp;NS=EXCEL&amp;Version=15&amp;tl=2&amp;CTT=5&amp;origin=HA102752955"/>
    <hyperlink ref="B315" r:id="rId294" display="http://office.microsoft.com/client/15/help/preview?AssetId=HA102752883&amp;lcid=1033&amp;NS=EXCEL&amp;Version=15&amp;tl=2&amp;CTT=5&amp;origin=HA102752955"/>
    <hyperlink ref="B316" r:id="rId295" display="http://office.microsoft.com/client/15/help/preview?AssetId=HA102752882&amp;lcid=1033&amp;NS=EXCEL&amp;Version=15&amp;tl=2&amp;CTT=5&amp;origin=HA102752955"/>
    <hyperlink ref="B317" r:id="rId296" display="http://office.microsoft.com/client/15/help/preview?AssetId=HA102752881&amp;lcid=1033&amp;NS=EXCEL&amp;Version=15&amp;tl=2&amp;CTT=5&amp;origin=HA102752955"/>
    <hyperlink ref="B318" r:id="rId297" display="http://office.microsoft.com/client/15/help/preview?AssetId=HA102752880&amp;lcid=1033&amp;NS=EXCEL&amp;Version=15&amp;tl=2&amp;CTT=5&amp;origin=HA102752955"/>
    <hyperlink ref="B319" r:id="rId298" display="http://office.microsoft.com/client/15/help/preview?AssetId=HA102753268&amp;lcid=1033&amp;NS=EXCEL&amp;Version=15&amp;tl=2&amp;CTT=5&amp;origin=HA102752955"/>
    <hyperlink ref="B320" r:id="rId299" display="http://office.microsoft.com/client/15/help/preview?AssetId=HA102753269&amp;lcid=1033&amp;NS=EXCEL&amp;Version=15&amp;tl=2&amp;CTT=5&amp;origin=HA102752955"/>
    <hyperlink ref="B321" r:id="rId300" display="http://office.microsoft.com/client/15/help/preview?AssetId=HA102752873&amp;lcid=1033&amp;NS=EXCEL&amp;Version=15&amp;tl=2&amp;CTT=5&amp;origin=HA102752955"/>
    <hyperlink ref="B322" r:id="rId301" display="http://office.microsoft.com/client/15/help/preview?AssetId=HA102752872&amp;lcid=1033&amp;NS=EXCEL&amp;Version=15&amp;tl=2&amp;CTT=5&amp;origin=HA102752955"/>
    <hyperlink ref="B323" r:id="rId302" display="http://office.microsoft.com/client/15/help/preview?AssetId=HA102752871&amp;lcid=1033&amp;NS=EXCEL&amp;Version=15&amp;tl=2&amp;CTT=5&amp;origin=HA102752955"/>
    <hyperlink ref="B324" r:id="rId303" display="http://office.microsoft.com/client/15/help/preview?AssetId=HA102752870&amp;lcid=1033&amp;NS=EXCEL&amp;Version=15&amp;tl=2&amp;CTT=5&amp;origin=HA102752955"/>
    <hyperlink ref="B325" r:id="rId304" display="http://office.microsoft.com/client/15/help/preview?AssetId=HA102752864&amp;lcid=1033&amp;NS=EXCEL&amp;Version=15&amp;tl=2&amp;CTT=5&amp;origin=HA102752955"/>
    <hyperlink ref="B326" r:id="rId305" display="http://office.microsoft.com/client/15/help/preview?AssetId=HA102752863&amp;lcid=1033&amp;NS=EXCEL&amp;Version=15&amp;tl=2&amp;CTT=5&amp;origin=HA102752955"/>
    <hyperlink ref="B327" r:id="rId306" display="http://office.microsoft.com/client/15/help/preview?AssetId=HA102752856&amp;lcid=1033&amp;NS=EXCEL&amp;Version=15&amp;tl=2&amp;CTT=5&amp;origin=HA102752955"/>
    <hyperlink ref="B328" r:id="rId307" display="http://office.microsoft.com/client/15/help/preview?AssetId=HA102752855&amp;lcid=1033&amp;NS=EXCEL&amp;Version=15&amp;tl=2&amp;CTT=5&amp;origin=HA102752955"/>
    <hyperlink ref="B329" r:id="rId308" display="http://office.microsoft.com/client/15/help/preview?AssetId=HA102752854&amp;lcid=1033&amp;NS=EXCEL&amp;Version=15&amp;tl=2&amp;CTT=5&amp;origin=HA102752955"/>
    <hyperlink ref="B330" r:id="rId309" display="http://office.microsoft.com/client/15/help/preview?AssetId=HA102753226&amp;lcid=1033&amp;NS=EXCEL&amp;Version=15&amp;tl=2&amp;CTT=5&amp;origin=HA102752955"/>
    <hyperlink ref="B331" r:id="rId310" display="http://office.microsoft.com/client/15/help/preview?AssetId=HA102752853&amp;lcid=1033&amp;NS=EXCEL&amp;Version=15&amp;tl=2&amp;CTT=5&amp;origin=HA102752955"/>
    <hyperlink ref="B332" r:id="rId311" display="http://office.microsoft.com/client/15/help/preview?AssetId=HA102752852&amp;lcid=1033&amp;NS=EXCEL&amp;Version=15&amp;tl=2&amp;CTT=5&amp;origin=HA102752955"/>
    <hyperlink ref="B333" r:id="rId312" display="http://office.microsoft.com/client/15/help/preview?AssetId=HA102752851&amp;lcid=1033&amp;NS=EXCEL&amp;Version=15&amp;tl=2&amp;CTT=5&amp;origin=HA102752955"/>
    <hyperlink ref="B334" r:id="rId313" display="http://office.microsoft.com/client/15/help/preview?AssetId=HA102752850&amp;lcid=1033&amp;NS=EXCEL&amp;Version=15&amp;tl=2&amp;CTT=5&amp;origin=HA102752955"/>
    <hyperlink ref="B335" r:id="rId314" display="http://office.microsoft.com/client/15/help/preview?AssetId=HA102752849&amp;lcid=1033&amp;NS=EXCEL&amp;Version=15&amp;tl=2&amp;CTT=5&amp;origin=HA102752955"/>
    <hyperlink ref="B336" r:id="rId315" display="http://office.microsoft.com/client/15/help/preview?AssetId=HA102752845&amp;lcid=1033&amp;NS=EXCEL&amp;Version=15&amp;tl=2&amp;CTT=5&amp;origin=HA102752955"/>
    <hyperlink ref="B337" r:id="rId316" display="http://office.microsoft.com/client/15/help/preview?AssetId=HA102752844&amp;lcid=1033&amp;NS=EXCEL&amp;Version=15&amp;tl=2&amp;CTT=5&amp;origin=HA102752955"/>
    <hyperlink ref="B338" r:id="rId317" display="http://office.microsoft.com/client/15/help/preview?AssetId=HA102752828&amp;lcid=1033&amp;NS=EXCEL&amp;Version=15&amp;tl=2&amp;CTT=5&amp;origin=HA102752955"/>
    <hyperlink ref="B341" r:id="rId318" display="http://office.microsoft.com/client/15/help/preview?AssetId=HA102753109&amp;lcid=1033&amp;NS=EXCEL&amp;Version=15&amp;tl=2&amp;CTT=5&amp;origin=HA102752955"/>
    <hyperlink ref="B342" r:id="rId319" display="http://office.microsoft.com/client/15/help/preview?AssetId=HA102753108&amp;lcid=1033&amp;NS=EXCEL&amp;Version=15&amp;tl=2&amp;CTT=5&amp;origin=HA102752955"/>
    <hyperlink ref="B343" r:id="rId320" display="http://office.microsoft.com/client/15/help/preview?AssetId=HA102753107&amp;lcid=1033&amp;NS=EXCEL&amp;Version=15&amp;tl=2&amp;CTT=5&amp;origin=HA102752955"/>
    <hyperlink ref="B344" r:id="rId321" display="http://office.microsoft.com/client/15/help/preview?AssetId=HA102753240&amp;lcid=1033&amp;NS=EXCEL&amp;Version=15&amp;tl=2&amp;CTT=5&amp;origin=HA102752955"/>
    <hyperlink ref="B345" r:id="rId322" display="http://office.microsoft.com/client/15/help/preview?AssetId=HA102753239&amp;lcid=1033&amp;NS=EXCEL&amp;Version=15&amp;tl=2&amp;CTT=5&amp;origin=HA102752955"/>
    <hyperlink ref="B346" r:id="rId323" display="http://office.microsoft.com/client/15/help/preview?AssetId=HA102753168&amp;lcid=1033&amp;NS=EXCEL&amp;Version=15&amp;tl=2&amp;CTT=5&amp;origin=HA102752955"/>
    <hyperlink ref="B347" r:id="rId324" display="http://office.microsoft.com/client/15/help/preview?AssetId=HA102753167&amp;lcid=1033&amp;NS=EXCEL&amp;Version=15&amp;tl=2&amp;CTT=5&amp;origin=HA102752955"/>
    <hyperlink ref="B348" r:id="rId325" display="http://office.microsoft.com/client/15/help/preview?AssetId=HA102753166&amp;lcid=1033&amp;NS=EXCEL&amp;Version=15&amp;tl=2&amp;CTT=5&amp;origin=HA102752955"/>
    <hyperlink ref="B349" r:id="rId326" display="http://office.microsoft.com/client/15/help/preview?AssetId=HA102753250&amp;lcid=1033&amp;NS=EXCEL&amp;Version=15&amp;tl=2&amp;CTT=5&amp;origin=HA102752955"/>
    <hyperlink ref="B350" r:id="rId327" display="http://office.microsoft.com/client/15/help/preview?AssetId=HA102753160&amp;lcid=1033&amp;NS=EXCEL&amp;Version=15&amp;tl=2&amp;CTT=5&amp;origin=HA102752955"/>
    <hyperlink ref="B351" r:id="rId328" display="http://office.microsoft.com/client/15/help/preview?AssetId=HA102753247&amp;lcid=1033&amp;NS=EXCEL&amp;Version=15&amp;tl=2&amp;CTT=5&amp;origin=HA102752955"/>
    <hyperlink ref="B352" r:id="rId329" display="http://office.microsoft.com/client/15/help/preview?AssetId=HA102753165&amp;lcid=1033&amp;NS=EXCEL&amp;Version=15&amp;tl=2&amp;CTT=5&amp;origin=HA102752955"/>
    <hyperlink ref="B353" r:id="rId330" display="http://office.microsoft.com/client/15/help/preview?AssetId=HA102753244&amp;lcid=1033&amp;NS=EXCEL&amp;Version=15&amp;tl=2&amp;CTT=5&amp;origin=HA102752955"/>
    <hyperlink ref="B354" r:id="rId331" display="http://office.microsoft.com/client/15/help/preview?AssetId=HA102753164&amp;lcid=1033&amp;NS=EXCEL&amp;Version=15&amp;tl=2&amp;CTT=5&amp;origin=HA102752955"/>
    <hyperlink ref="B355" r:id="rId332" display="http://office.microsoft.com/client/15/help/preview?AssetId=HA102753163&amp;lcid=1033&amp;NS=EXCEL&amp;Version=15&amp;tl=2&amp;CTT=5&amp;origin=HA102752955"/>
    <hyperlink ref="B356" r:id="rId333" display="http://office.microsoft.com/client/15/help/preview?AssetId=HA102753162&amp;lcid=1033&amp;NS=EXCEL&amp;Version=15&amp;tl=2&amp;CTT=5&amp;origin=HA102752955"/>
    <hyperlink ref="B357" r:id="rId334" display="http://office.microsoft.com/client/15/help/preview?AssetId=HA102753224&amp;lcid=1033&amp;NS=EXCEL&amp;Version=15&amp;tl=2&amp;CTT=5&amp;origin=HA102752955"/>
    <hyperlink ref="B358" r:id="rId335" display="http://office.microsoft.com/client/15/help/preview?AssetId=HA102753084&amp;lcid=1033&amp;NS=EXCEL&amp;Version=15&amp;tl=2&amp;CTT=5&amp;origin=HA102752955"/>
    <hyperlink ref="B359" r:id="rId336" display="http://office.microsoft.com/client/15/help/preview?AssetId=HA102753081&amp;lcid=1033&amp;NS=EXCEL&amp;Version=15&amp;tl=2&amp;CTT=5&amp;origin=HA102752955"/>
    <hyperlink ref="B360" r:id="rId337" display="http://office.microsoft.com/client/15/help/preview?AssetId=HA102753080&amp;lcid=1033&amp;NS=EXCEL&amp;Version=15&amp;tl=2&amp;CTT=5&amp;origin=HA102752955"/>
    <hyperlink ref="B361" r:id="rId338" display="http://office.microsoft.com/client/15/help/preview?AssetId=HA102753078&amp;lcid=1033&amp;NS=EXCEL&amp;Version=15&amp;tl=2&amp;CTT=5&amp;origin=HA102752955"/>
    <hyperlink ref="B362" r:id="rId339" display="http://office.microsoft.com/client/15/help/preview?AssetId=HA102753077&amp;lcid=1033&amp;NS=EXCEL&amp;Version=15&amp;tl=2&amp;CTT=5&amp;origin=HA102752955"/>
    <hyperlink ref="B363" r:id="rId340" display="http://office.microsoft.com/client/15/help/preview?AssetId=HA102753238&amp;lcid=1033&amp;NS=EXCEL&amp;Version=15&amp;tl=2&amp;CTT=5&amp;origin=HA102752955"/>
    <hyperlink ref="B364" r:id="rId341" display="http://office.microsoft.com/client/15/help/preview?AssetId=HA102753161&amp;lcid=1033&amp;NS=EXCEL&amp;Version=15&amp;tl=2&amp;CTT=5&amp;origin=HA102752955"/>
    <hyperlink ref="B365" r:id="rId342" display="http://office.microsoft.com/client/15/help/preview?AssetId=HA102753223&amp;lcid=1033&amp;NS=EXCEL&amp;Version=15&amp;tl=2&amp;CTT=5&amp;origin=HA102752955"/>
    <hyperlink ref="B366" r:id="rId343" display="http://office.microsoft.com/client/15/help/preview?AssetId=HA102753051&amp;lcid=1033&amp;NS=EXCEL&amp;Version=15&amp;tl=2&amp;CTT=5&amp;origin=HA102752955"/>
    <hyperlink ref="B367" r:id="rId344" display="http://office.microsoft.com/client/15/help/preview?AssetId=HA102753159&amp;lcid=1033&amp;NS=EXCEL&amp;Version=15&amp;tl=2&amp;CTT=5&amp;origin=HA102752955"/>
    <hyperlink ref="B368" r:id="rId345" display="http://office.microsoft.com/client/15/help/preview?AssetId=HA102753243&amp;lcid=1033&amp;NS=EXCEL&amp;Version=15&amp;tl=2&amp;CTT=5&amp;origin=HA102752955"/>
    <hyperlink ref="B369" r:id="rId346" display="http://office.microsoft.com/client/15/help/preview?AssetId=HA102753158&amp;lcid=1033&amp;NS=EXCEL&amp;Version=15&amp;tl=2&amp;CTT=5&amp;origin=HA102752955"/>
    <hyperlink ref="B370" r:id="rId347" display="http://office.microsoft.com/client/15/help/preview?AssetId=HA102753242&amp;lcid=1033&amp;NS=EXCEL&amp;Version=15&amp;tl=2&amp;CTT=5&amp;origin=HA102752955"/>
    <hyperlink ref="B371" r:id="rId348" display="http://office.microsoft.com/client/15/help/preview?AssetId=HA102753157&amp;lcid=1033&amp;NS=EXCEL&amp;Version=15&amp;tl=2&amp;CTT=5&amp;origin=HA102752955"/>
    <hyperlink ref="B372" r:id="rId349" display="http://office.microsoft.com/client/15/help/preview?AssetId=HA102753156&amp;lcid=1033&amp;NS=EXCEL&amp;Version=15&amp;tl=2&amp;CTT=5&amp;origin=HA102752955"/>
    <hyperlink ref="B373" r:id="rId350" display="http://office.microsoft.com/client/15/help/preview?AssetId=HA102753016&amp;lcid=1033&amp;NS=EXCEL&amp;Version=15&amp;tl=2&amp;CTT=5&amp;origin=HA102752955"/>
    <hyperlink ref="B374" r:id="rId351" display="http://office.microsoft.com/client/15/help/preview?AssetId=HA102753015&amp;lcid=1033&amp;NS=EXCEL&amp;Version=15&amp;tl=2&amp;CTT=5&amp;origin=HA102752955"/>
    <hyperlink ref="B375" r:id="rId352" display="http://office.microsoft.com/client/15/help/preview?AssetId=HA102753012&amp;lcid=1033&amp;NS=EXCEL&amp;Version=15&amp;tl=2&amp;CTT=5&amp;origin=HA102752955"/>
    <hyperlink ref="B376" r:id="rId353" display="http://office.microsoft.com/client/15/help/preview?AssetId=HA102753011&amp;lcid=1033&amp;NS=EXCEL&amp;Version=15&amp;tl=2&amp;CTT=5&amp;origin=HA102752955"/>
    <hyperlink ref="B377" r:id="rId354" display="http://office.microsoft.com/client/15/help/preview?AssetId=HA102753277&amp;lcid=1033&amp;NS=EXCEL&amp;Version=15&amp;tl=2&amp;CTT=5&amp;origin=HA102752955"/>
    <hyperlink ref="B378" r:id="rId355" display="http://office.microsoft.com/client/15/help/preview?AssetId=HA102753155&amp;lcid=1033&amp;NS=EXCEL&amp;Version=15&amp;tl=2&amp;CTT=5&amp;origin=HA102752955"/>
    <hyperlink ref="B379" r:id="rId356" display="http://office.microsoft.com/client/15/help/preview?AssetId=HA102753154&amp;lcid=1033&amp;NS=EXCEL&amp;Version=15&amp;tl=2&amp;CTT=5&amp;origin=HA102752955"/>
    <hyperlink ref="B380" r:id="rId357" display="http://office.microsoft.com/client/15/help/preview?AssetId=HA102753008&amp;lcid=1033&amp;NS=EXCEL&amp;Version=15&amp;tl=2&amp;CTT=5&amp;origin=HA102752955"/>
    <hyperlink ref="B381" r:id="rId358" display="http://office.microsoft.com/client/15/help/preview?AssetId=HA102752805&amp;lcid=1033&amp;NS=EXCEL&amp;Version=15&amp;tl=2&amp;CTT=5&amp;origin=HA102752955"/>
    <hyperlink ref="B382" r:id="rId359" display="http://office.microsoft.com/client/15/help/preview?AssetId=HA102753278&amp;lcid=1033&amp;NS=EXCEL&amp;Version=15&amp;tl=2&amp;CTT=5&amp;origin=HA102752955"/>
    <hyperlink ref="B383" r:id="rId360" display="http://office.microsoft.com/client/15/help/preview?AssetId=HA102753006&amp;lcid=1033&amp;NS=EXCEL&amp;Version=15&amp;tl=2&amp;CTT=5&amp;origin=HA102752955"/>
    <hyperlink ref="B384" r:id="rId361" display="http://office.microsoft.com/client/15/help/preview?AssetId=HA102753003&amp;lcid=1033&amp;NS=EXCEL&amp;Version=15&amp;tl=2&amp;CTT=5&amp;origin=HA102752955"/>
    <hyperlink ref="B385" r:id="rId362" display="http://office.microsoft.com/client/15/help/preview?AssetId=HA102753002&amp;lcid=1033&amp;NS=EXCEL&amp;Version=15&amp;tl=2&amp;CTT=5&amp;origin=HA102752955"/>
    <hyperlink ref="B386" r:id="rId363" display="http://office.microsoft.com/client/15/help/preview?AssetId=HA102753153&amp;lcid=1033&amp;NS=EXCEL&amp;Version=15&amp;tl=2&amp;CTT=5&amp;origin=HA102752955"/>
    <hyperlink ref="B387" r:id="rId364" display="http://office.microsoft.com/client/15/help/preview?AssetId=HA102752971&amp;lcid=1033&amp;NS=EXCEL&amp;Version=15&amp;tl=2&amp;CTT=5&amp;origin=HA102752955"/>
    <hyperlink ref="B388" r:id="rId365" display="http://office.microsoft.com/client/15/help/preview?AssetId=HA102752961&amp;lcid=1033&amp;NS=EXCEL&amp;Version=15&amp;tl=2&amp;CTT=5&amp;origin=HA102752955"/>
    <hyperlink ref="B389" r:id="rId366" display="http://office.microsoft.com/client/15/help/preview?AssetId=HA102752960&amp;lcid=1033&amp;NS=EXCEL&amp;Version=15&amp;tl=2&amp;CTT=5&amp;origin=HA102752955"/>
    <hyperlink ref="B390" r:id="rId367" display="http://office.microsoft.com/client/15/help/preview?AssetId=HA102752956&amp;lcid=1033&amp;NS=EXCEL&amp;Version=15&amp;tl=2&amp;CTT=5&amp;origin=HA102752955"/>
    <hyperlink ref="B391" r:id="rId368" display="http://office.microsoft.com/client/15/help/preview?AssetId=HA102752951&amp;lcid=1033&amp;NS=EXCEL&amp;Version=15&amp;tl=2&amp;CTT=5&amp;origin=HA102752955"/>
    <hyperlink ref="B392" r:id="rId369" display="http://office.microsoft.com/client/15/help/preview?AssetId=HA102753152&amp;lcid=1033&amp;NS=EXCEL&amp;Version=15&amp;tl=2&amp;CTT=5&amp;origin=HA102752955"/>
    <hyperlink ref="B393" r:id="rId370" display="http://office.microsoft.com/client/15/help/preview?AssetId=HA102752808&amp;lcid=1033&amp;NS=EXCEL&amp;Version=15&amp;tl=2&amp;CTT=5&amp;origin=HA102752955"/>
    <hyperlink ref="B394" r:id="rId371" display="http://office.microsoft.com/client/15/help/preview?AssetId=HA102752943&amp;lcid=1033&amp;NS=EXCEL&amp;Version=15&amp;tl=2&amp;CTT=5&amp;origin=HA102752955"/>
    <hyperlink ref="B395" r:id="rId372" display="http://office.microsoft.com/client/15/help/preview?AssetId=HA102752941&amp;lcid=1033&amp;NS=EXCEL&amp;Version=15&amp;tl=2&amp;CTT=5&amp;origin=HA102752955"/>
    <hyperlink ref="B396" r:id="rId373" display="http://office.microsoft.com/client/15/help/preview?AssetId=HA102752938&amp;lcid=1033&amp;NS=EXCEL&amp;Version=15&amp;tl=2&amp;CTT=5&amp;origin=HA102752955"/>
    <hyperlink ref="B397" r:id="rId374" display="http://office.microsoft.com/client/15/help/preview?AssetId=HA102752936&amp;lcid=1033&amp;NS=EXCEL&amp;Version=15&amp;tl=2&amp;CTT=5&amp;origin=HA102752955"/>
    <hyperlink ref="B398" r:id="rId375" display="http://office.microsoft.com/client/15/help/preview?AssetId=HA102752935&amp;lcid=1033&amp;NS=EXCEL&amp;Version=15&amp;tl=2&amp;CTT=5&amp;origin=HA102752955"/>
    <hyperlink ref="B399" r:id="rId376" display="http://office.microsoft.com/client/15/help/preview?AssetId=HA102753222&amp;lcid=1033&amp;NS=EXCEL&amp;Version=15&amp;tl=2&amp;CTT=5&amp;origin=HA102752955"/>
    <hyperlink ref="B400" r:id="rId377" display="http://office.microsoft.com/client/15/help/preview?AssetId=HA102753151&amp;lcid=1033&amp;NS=EXCEL&amp;Version=15&amp;tl=2&amp;CTT=5&amp;origin=HA102752955"/>
    <hyperlink ref="B401" r:id="rId378" display="http://office.microsoft.com/client/15/help/preview?AssetId=HA102753149&amp;lcid=1033&amp;NS=EXCEL&amp;Version=15&amp;tl=2&amp;CTT=5&amp;origin=HA102752955"/>
    <hyperlink ref="B402" r:id="rId379" display="http://office.microsoft.com/client/15/help/preview?AssetId=HA102753148&amp;lcid=1033&amp;NS=EXCEL&amp;Version=15&amp;tl=2&amp;CTT=5&amp;origin=HA102752955"/>
    <hyperlink ref="B403" r:id="rId380" display="http://office.microsoft.com/client/15/help/preview?AssetId=HA102753146&amp;lcid=1033&amp;NS=EXCEL&amp;Version=15&amp;tl=2&amp;CTT=5&amp;origin=HA102752955"/>
    <hyperlink ref="B404" r:id="rId381" display="http://office.microsoft.com/client/15/help/preview?AssetId=HA102753145&amp;lcid=1033&amp;NS=EXCEL&amp;Version=15&amp;tl=2&amp;CTT=5&amp;origin=HA102752955"/>
    <hyperlink ref="B405" r:id="rId382" display="http://office.microsoft.com/client/15/help/preview?AssetId=HA102753144&amp;lcid=1033&amp;NS=EXCEL&amp;Version=15&amp;tl=2&amp;CTT=5&amp;origin=HA102752955"/>
    <hyperlink ref="B406" r:id="rId383" display="http://office.microsoft.com/client/15/help/preview?AssetId=HA102752907&amp;lcid=1033&amp;NS=EXCEL&amp;Version=15&amp;tl=2&amp;CTT=5&amp;origin=HA102752955"/>
    <hyperlink ref="B407" r:id="rId384" display="http://office.microsoft.com/client/15/help/preview?AssetId=HA102753219&amp;lcid=1033&amp;NS=EXCEL&amp;Version=15&amp;tl=2&amp;CTT=5&amp;origin=HA102752955"/>
    <hyperlink ref="B408" r:id="rId385" display="http://office.microsoft.com/client/15/help/preview?AssetId=HA102753143&amp;lcid=1033&amp;NS=EXCEL&amp;Version=15&amp;tl=2&amp;CTT=5&amp;origin=HA102752955"/>
    <hyperlink ref="B409" r:id="rId386" display="http://office.microsoft.com/client/15/help/preview?AssetId=HA102753218&amp;lcid=1033&amp;NS=EXCEL&amp;Version=15&amp;tl=2&amp;CTT=5&amp;origin=HA102752955"/>
    <hyperlink ref="B410" r:id="rId387" display="http://office.microsoft.com/client/15/help/preview?AssetId=HA102753142&amp;lcid=1033&amp;NS=EXCEL&amp;Version=15&amp;tl=2&amp;CTT=5&amp;origin=HA102752955"/>
    <hyperlink ref="B411" r:id="rId388" display="http://office.microsoft.com/client/15/help/preview?AssetId=HA102752906&amp;lcid=1033&amp;NS=EXCEL&amp;Version=15&amp;tl=2&amp;CTT=5&amp;origin=HA102752955"/>
    <hyperlink ref="B412" r:id="rId389" display="http://office.microsoft.com/client/15/help/preview?AssetId=HA102753264&amp;lcid=1033&amp;NS=EXCEL&amp;Version=15&amp;tl=2&amp;CTT=5&amp;origin=HA102752955"/>
    <hyperlink ref="B413" r:id="rId390" display="http://office.microsoft.com/client/15/help/preview?AssetId=HA102753265&amp;lcid=1033&amp;NS=EXCEL&amp;Version=15&amp;tl=2&amp;CTT=5&amp;origin=HA102752955"/>
    <hyperlink ref="B414" r:id="rId391" display="http://office.microsoft.com/client/15/help/preview?AssetId=HA102753141&amp;lcid=1033&amp;NS=EXCEL&amp;Version=15&amp;tl=2&amp;CTT=5&amp;origin=HA102752955"/>
    <hyperlink ref="B415" r:id="rId392" display="http://office.microsoft.com/client/15/help/preview?AssetId=HA102752897&amp;lcid=1033&amp;NS=EXCEL&amp;Version=15&amp;tl=2&amp;CTT=5&amp;origin=HA102752955"/>
    <hyperlink ref="B416" r:id="rId393" display="http://office.microsoft.com/client/15/help/preview?AssetId=HA102753221&amp;lcid=1033&amp;NS=EXCEL&amp;Version=15&amp;tl=2&amp;CTT=5&amp;origin=HA102752955"/>
    <hyperlink ref="B417" r:id="rId394" display="http://office.microsoft.com/client/15/help/preview?AssetId=HA102753140&amp;lcid=1033&amp;NS=EXCEL&amp;Version=15&amp;tl=2&amp;CTT=5&amp;origin=HA102752955"/>
    <hyperlink ref="B418" r:id="rId395" display="http://office.microsoft.com/client/15/help/preview?AssetId=HA102753220&amp;lcid=1033&amp;NS=EXCEL&amp;Version=15&amp;tl=2&amp;CTT=5&amp;origin=HA102752955"/>
    <hyperlink ref="B419" r:id="rId396" display="http://office.microsoft.com/client/15/help/preview?AssetId=HA102753150&amp;lcid=1033&amp;NS=EXCEL&amp;Version=15&amp;tl=2&amp;CTT=5&amp;origin=HA102752955"/>
    <hyperlink ref="B420" r:id="rId397" display="http://office.microsoft.com/client/15/help/preview?AssetId=HA102752877&amp;lcid=1033&amp;NS=EXCEL&amp;Version=15&amp;tl=2&amp;CTT=5&amp;origin=HA102752955"/>
    <hyperlink ref="B421" r:id="rId398" display="http://office.microsoft.com/client/15/help/preview?AssetId=HA102752869&amp;lcid=1033&amp;NS=EXCEL&amp;Version=15&amp;tl=2&amp;CTT=5&amp;origin=HA102752955"/>
    <hyperlink ref="B422" r:id="rId399" display="http://office.microsoft.com/client/15/help/preview?AssetId=HA102753266&amp;lcid=1033&amp;NS=EXCEL&amp;Version=15&amp;tl=2&amp;CTT=5&amp;origin=HA102752955"/>
    <hyperlink ref="B423" r:id="rId400" display="http://office.microsoft.com/client/15/help/preview?AssetId=HA102752867&amp;lcid=1033&amp;NS=EXCEL&amp;Version=15&amp;tl=2&amp;CTT=5&amp;origin=HA102752955"/>
    <hyperlink ref="B424" r:id="rId401" display="http://office.microsoft.com/client/15/help/preview?AssetId=HA102752866&amp;lcid=1033&amp;NS=EXCEL&amp;Version=15&amp;tl=2&amp;CTT=5&amp;origin=HA102752955"/>
    <hyperlink ref="B425" r:id="rId402" display="http://office.microsoft.com/client/15/help/preview?AssetId=HA102752862&amp;lcid=1033&amp;NS=EXCEL&amp;Version=15&amp;tl=2&amp;CTT=5&amp;origin=HA102752955"/>
    <hyperlink ref="B426" r:id="rId403" display="http://office.microsoft.com/client/15/help/preview?AssetId=HA102753129&amp;lcid=1033&amp;NS=EXCEL&amp;Version=15&amp;tl=2&amp;CTT=5&amp;origin=HA102752955"/>
    <hyperlink ref="B427" r:id="rId404" display="http://office.microsoft.com/client/15/help/preview?AssetId=HA102753139&amp;lcid=1033&amp;NS=EXCEL&amp;Version=15&amp;tl=2&amp;CTT=5&amp;origin=HA102752955"/>
    <hyperlink ref="B428" r:id="rId405" display="http://office.microsoft.com/client/15/help/preview?AssetId=HA102752860&amp;lcid=1033&amp;NS=EXCEL&amp;Version=15&amp;tl=2&amp;CTT=5&amp;origin=HA102752955"/>
    <hyperlink ref="B429" r:id="rId406" display="http://office.microsoft.com/client/15/help/preview?AssetId=HA102752859&amp;lcid=1033&amp;NS=EXCEL&amp;Version=15&amp;tl=2&amp;CTT=5&amp;origin=HA102752955"/>
    <hyperlink ref="B430" r:id="rId407" display="http://office.microsoft.com/client/15/help/preview?AssetId=HA102752858&amp;lcid=1033&amp;NS=EXCEL&amp;Version=15&amp;tl=2&amp;CTT=5&amp;origin=HA102752955"/>
    <hyperlink ref="B431" r:id="rId408" display="http://office.microsoft.com/client/15/help/preview?AssetId=HA102753241&amp;lcid=1033&amp;NS=EXCEL&amp;Version=15&amp;tl=2&amp;CTT=5&amp;origin=HA102752955"/>
    <hyperlink ref="B432" r:id="rId409" display="http://office.microsoft.com/client/15/help/preview?AssetId=HA102753138&amp;lcid=1033&amp;NS=EXCEL&amp;Version=15&amp;tl=2&amp;CTT=5&amp;origin=HA102752955"/>
    <hyperlink ref="B433" r:id="rId410" display="http://office.microsoft.com/client/15/help/preview?AssetId=HA102753130&amp;lcid=1033&amp;NS=EXCEL&amp;Version=15&amp;tl=2&amp;CTT=5&amp;origin=HA102752955"/>
    <hyperlink ref="B434" r:id="rId411" display="http://office.microsoft.com/client/15/help/preview?AssetId=HA102753225&amp;lcid=1033&amp;NS=EXCEL&amp;Version=15&amp;tl=2&amp;CTT=5&amp;origin=HA102752955"/>
    <hyperlink ref="B435" r:id="rId412" display="http://office.microsoft.com/client/15/help/preview?AssetId=HA102753136&amp;lcid=1033&amp;NS=EXCEL&amp;Version=15&amp;tl=2&amp;CTT=5&amp;origin=HA102752955"/>
    <hyperlink ref="B436" r:id="rId413" display="http://office.microsoft.com/client/15/help/preview?AssetId=HA102753135&amp;lcid=1033&amp;NS=EXCEL&amp;Version=15&amp;tl=2&amp;CTT=5&amp;origin=HA102752955"/>
    <hyperlink ref="B437" r:id="rId414" display="http://office.microsoft.com/client/15/help/preview?AssetId=HA102752832&amp;lcid=1033&amp;NS=EXCEL&amp;Version=15&amp;tl=2&amp;CTT=5&amp;origin=HA102752955"/>
    <hyperlink ref="B438" r:id="rId415" display="http://office.microsoft.com/client/15/help/preview?AssetId=HA102752830&amp;lcid=1033&amp;NS=EXCEL&amp;Version=15&amp;tl=2&amp;CTT=5&amp;origin=HA102752955"/>
    <hyperlink ref="B439" r:id="rId416" display="http://office.microsoft.com/client/15/help/preview?AssetId=HA102753133&amp;lcid=1033&amp;NS=EXCEL&amp;Version=15&amp;tl=2&amp;CTT=5&amp;origin=HA102752955"/>
    <hyperlink ref="B440" r:id="rId417" display="http://office.microsoft.com/client/15/help/preview?AssetId=HA102753134&amp;lcid=1033&amp;NS=EXCEL&amp;Version=15&amp;tl=2&amp;CTT=5&amp;origin=HA102752955"/>
    <hyperlink ref="B441" r:id="rId418" display="http://office.microsoft.com/client/15/help/preview?AssetId=HA102752823&amp;lcid=1033&amp;NS=EXCEL&amp;Version=15&amp;tl=2&amp;CTT=5&amp;origin=HA102752955"/>
    <hyperlink ref="B442" r:id="rId419" display="http://office.microsoft.com/client/15/help/preview?AssetId=HA102752822&amp;lcid=1033&amp;NS=EXCEL&amp;Version=15&amp;tl=2&amp;CTT=5&amp;origin=HA102752955"/>
    <hyperlink ref="B443" r:id="rId420" display="http://office.microsoft.com/client/15/help/preview?AssetId=HA102753132&amp;lcid=1033&amp;NS=EXCEL&amp;Version=15&amp;tl=2&amp;CTT=5&amp;origin=HA102752955"/>
    <hyperlink ref="B444" r:id="rId421" display="http://office.microsoft.com/client/15/help/preview?AssetId=HA102753131&amp;lcid=1033&amp;NS=EXCEL&amp;Version=15&amp;tl=2&amp;CTT=5&amp;origin=HA102752955"/>
    <hyperlink ref="B447" r:id="rId422" display="http://office.microsoft.com/client/15/help/preview?AssetId=HA102753116&amp;lcid=1033&amp;NS=EXCEL&amp;Version=15&amp;tl=2&amp;CTT=5&amp;origin=HA102752955"/>
    <hyperlink ref="B448" r:id="rId423" display="http://office.microsoft.com/client/15/help/preview?AssetId=HA102753106&amp;lcid=1033&amp;NS=EXCEL&amp;Version=15&amp;tl=2&amp;CTT=5&amp;origin=HA102752955"/>
    <hyperlink ref="B449" r:id="rId424" display="http://office.microsoft.com/client/15/help/preview?AssetId=HA102753095&amp;lcid=1033&amp;NS=EXCEL&amp;Version=15&amp;tl=2&amp;CTT=5&amp;origin=HA102752955"/>
    <hyperlink ref="B450" r:id="rId425" display="http://office.microsoft.com/client/15/help/preview?AssetId=HA102753093&amp;lcid=1033&amp;NS=EXCEL&amp;Version=15&amp;tl=2&amp;CTT=5&amp;origin=HA102752955"/>
    <hyperlink ref="B451" r:id="rId426" display="http://office.microsoft.com/client/15/help/preview?AssetId=HA102753092&amp;lcid=1033&amp;NS=EXCEL&amp;Version=15&amp;tl=2&amp;CTT=5&amp;origin=HA102752955"/>
    <hyperlink ref="B452" r:id="rId427" display="http://office.microsoft.com/client/15/help/preview?AssetId=HA102753085&amp;lcid=1033&amp;NS=EXCEL&amp;Version=15&amp;tl=2&amp;CTT=5&amp;origin=HA102752955"/>
    <hyperlink ref="B453" r:id="rId428" display="http://office.microsoft.com/client/15/help/preview?AssetId=HA102752962&amp;lcid=1033&amp;NS=EXCEL&amp;Version=15&amp;tl=2&amp;CTT=5&amp;origin=HA102752955"/>
    <hyperlink ref="B454" r:id="rId429" display="http://office.microsoft.com/client/15/help/preview?AssetId=HA102753046&amp;lcid=1033&amp;NS=EXCEL&amp;Version=15&amp;tl=2&amp;CTT=5&amp;origin=HA102752955"/>
    <hyperlink ref="B455" r:id="rId430" display="http://office.microsoft.com/client/15/help/preview?AssetId=HA102753026&amp;lcid=1033&amp;NS=EXCEL&amp;Version=15&amp;tl=2&amp;CTT=5&amp;origin=HA102752955"/>
    <hyperlink ref="B456" r:id="rId431" display="http://office.microsoft.com/client/15/help/preview?AssetId=HA102753018&amp;lcid=1033&amp;NS=EXCEL&amp;Version=15&amp;tl=2&amp;CTT=5&amp;origin=HA102752955"/>
    <hyperlink ref="B457" r:id="rId432" display="http://office.microsoft.com/client/15/help/preview?AssetId=HA102753014&amp;lcid=1033&amp;NS=EXCEL&amp;Version=15&amp;tl=2&amp;CTT=5&amp;origin=HA102752955"/>
    <hyperlink ref="B458" r:id="rId433" display="http://office.microsoft.com/client/15/help/preview?AssetId=HA102752958&amp;lcid=1033&amp;NS=EXCEL&amp;Version=15&amp;tl=2&amp;CTT=5&amp;origin=HA102752955"/>
    <hyperlink ref="B459" r:id="rId434" display="http://office.microsoft.com/client/15/help/preview?AssetId=HA102752957&amp;lcid=1033&amp;NS=EXCEL&amp;Version=15&amp;tl=2&amp;CTT=5&amp;origin=HA102752955"/>
    <hyperlink ref="B460" r:id="rId435" display="http://office.microsoft.com/client/15/help/preview?AssetId=HA102752946&amp;lcid=1033&amp;NS=EXCEL&amp;Version=15&amp;tl=2&amp;CTT=5&amp;origin=HA102752955"/>
    <hyperlink ref="B461" r:id="rId436" display="http://office.microsoft.com/client/15/help/preview?AssetId=HA102752937&amp;lcid=1033&amp;NS=EXCEL&amp;Version=15&amp;tl=2&amp;CTT=5&amp;origin=HA102752955"/>
    <hyperlink ref="B462" r:id="rId437" display="http://office.microsoft.com/client/15/help/preview?AssetId=HA102753294&amp;lcid=1033&amp;NS=EXCEL&amp;Version=15&amp;tl=2&amp;CTT=5&amp;origin=HA102752955"/>
    <hyperlink ref="B463" r:id="rId438" display="http://office.microsoft.com/client/15/help/preview?AssetId=HA102752905&amp;lcid=1033&amp;NS=EXCEL&amp;Version=15&amp;tl=2&amp;CTT=5&amp;origin=HA102752955"/>
    <hyperlink ref="B464" r:id="rId439" display="http://office.microsoft.com/client/15/help/preview?AssetId=HA102752895&amp;lcid=1033&amp;NS=EXCEL&amp;Version=15&amp;tl=2&amp;CTT=5&amp;origin=HA102752955"/>
    <hyperlink ref="B465" r:id="rId440" display="http://office.microsoft.com/client/15/help/preview?AssetId=HA102752886&amp;lcid=1033&amp;NS=EXCEL&amp;Version=15&amp;tl=2&amp;CTT=5&amp;origin=HA102752955"/>
    <hyperlink ref="B466" r:id="rId441" display="http://office.microsoft.com/client/15/help/preview?AssetId=HA102752885&amp;lcid=1033&amp;NS=EXCEL&amp;Version=15&amp;tl=2&amp;CTT=5&amp;origin=HA102752955"/>
    <hyperlink ref="B467" r:id="rId442" display="http://office.microsoft.com/client/15/help/preview?AssetId=HA102752884&amp;lcid=1033&amp;NS=EXCEL&amp;Version=15&amp;tl=2&amp;CTT=5&amp;origin=HA102752955"/>
    <hyperlink ref="B468" r:id="rId443" display="http://office.microsoft.com/client/15/help/preview?AssetId=HA102752875&amp;lcid=1033&amp;NS=EXCEL&amp;Version=15&amp;tl=2&amp;CTT=5&amp;origin=HA102752955"/>
    <hyperlink ref="B469" r:id="rId444" display="http://office.microsoft.com/client/15/help/preview?AssetId=HA102752857&amp;lcid=1033&amp;NS=EXCEL&amp;Version=15&amp;tl=2&amp;CTT=5&amp;origin=HA102752955"/>
    <hyperlink ref="B470" r:id="rId445" display="http://office.microsoft.com/client/15/help/preview?AssetId=HA102752846&amp;lcid=1033&amp;NS=EXCEL&amp;Version=15&amp;tl=2&amp;CTT=5&amp;origin=HA102752955"/>
    <hyperlink ref="B471" r:id="rId446" display="http://office.microsoft.com/client/15/help/preview?AssetId=HA102752840&amp;lcid=1033&amp;NS=EXCEL&amp;Version=15&amp;tl=2&amp;CTT=5&amp;origin=HA102752955"/>
    <hyperlink ref="B472" r:id="rId447" display="http://office.microsoft.com/client/15/help/preview?AssetId=HA102752831&amp;lcid=1033&amp;NS=EXCEL&amp;Version=15&amp;tl=2&amp;CTT=5&amp;origin=HA102752955"/>
    <hyperlink ref="B473" r:id="rId448" display="http://office.microsoft.com/client/15/help/preview?AssetId=HA102753273&amp;lcid=1033&amp;NS=EXCEL&amp;Version=15&amp;tl=2&amp;CTT=5&amp;origin=HA102752955"/>
    <hyperlink ref="B474" r:id="rId449" display="http://office.microsoft.com/client/15/help/preview?AssetId=HA102753274&amp;lcid=1033&amp;NS=EXCEL&amp;Version=15&amp;tl=2&amp;CTT=5&amp;origin=HA102752955"/>
    <hyperlink ref="B475" r:id="rId450" display="http://office.microsoft.com/client/15/help/preview?AssetId=HA102752826&amp;lcid=1033&amp;NS=EXCEL&amp;Version=15&amp;tl=2&amp;CTT=5&amp;origin=HA102752955"/>
    <hyperlink ref="B476" r:id="rId451" display="http://office.microsoft.com/client/15/help/preview?AssetId=HA102752824&amp;lcid=1033&amp;NS=EXCEL&amp;Version=15&amp;tl=2&amp;CTT=5&amp;origin=HA102752955"/>
    <hyperlink ref="B479" r:id="rId452" display="http://office.microsoft.com/client/15/help/preview?AssetId=HA102753098&amp;lcid=1033&amp;NS=EXCEL&amp;Version=15&amp;tl=2&amp;CTT=5&amp;origin=HA102752955"/>
    <hyperlink ref="B480" r:id="rId453" display="http://office.microsoft.com/client/15/help/preview?AssetId=HA102753028&amp;lcid=1033&amp;NS=EXCEL&amp;Version=15&amp;tl=2&amp;CTT=5&amp;origin=HA102752955"/>
    <hyperlink ref="B481" r:id="rId454" display="http://office.microsoft.com/client/15/help/preview?AssetId=HA102752887&amp;lcid=1033&amp;NS=EXCEL&amp;Version=15&amp;tl=2&amp;CTT=5&amp;origin=HA102752955"/>
    <hyperlink ref="B482" r:id="rId455" display="http://office.microsoft.com/client/15/help/preview?AssetId=HA102752865&amp;lcid=1033&amp;NS=EXCEL&amp;Version=15&amp;tl=2&amp;CTT=5&amp;origin=HA102752955"/>
    <hyperlink ref="B485" r:id="rId456" display="http://office.microsoft.com/client/15/help/preview?AssetId=HA102780999&amp;lcid=1033&amp;NS=EXCEL&amp;Version=15&amp;tl=2&amp;CTT=5&amp;origin=HA102752955"/>
    <hyperlink ref="B486" r:id="rId457" display="http://office.microsoft.com/client/15/help/preview?AssetId=HA102781000&amp;lcid=1033&amp;NS=EXCEL&amp;Version=15&amp;tl=2&amp;CTT=5&amp;origin=HA102752955"/>
    <hyperlink ref="B487" r:id="rId458" display="http://office.microsoft.com/client/15/help/preview?AssetId=HA102780998&amp;lcid=1033&amp;NS=EXCEL&amp;Version=15&amp;tl=2&amp;CTT=5&amp;origin=HA102752955"/>
  </hyperlinks>
  <pageMargins left="0.7" right="0.7" top="0.75" bottom="0.75" header="0.3" footer="0.3"/>
  <drawing r:id="rId45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showGridLines="0" tabSelected="1" zoomScale="120" zoomScaleNormal="120" workbookViewId="0">
      <selection activeCell="F10" sqref="F10"/>
    </sheetView>
  </sheetViews>
  <sheetFormatPr defaultColWidth="9.109375" defaultRowHeight="15.6" x14ac:dyDescent="0.3"/>
  <cols>
    <col min="1" max="1" width="20.88671875" style="390" customWidth="1"/>
    <col min="2" max="4" width="5.44140625" style="390" customWidth="1"/>
    <col min="5" max="5" width="10.88671875" style="390" customWidth="1"/>
    <col min="6" max="7" width="10.88671875" style="389" customWidth="1"/>
    <col min="8" max="8" width="29" style="390" customWidth="1"/>
    <col min="9" max="16384" width="9.109375" style="390"/>
  </cols>
  <sheetData>
    <row r="1" spans="1:10" ht="23.4" x14ac:dyDescent="0.45">
      <c r="A1" s="447" t="s">
        <v>1082</v>
      </c>
      <c r="J1" s="637" t="s">
        <v>3016</v>
      </c>
    </row>
    <row r="2" spans="1:10" x14ac:dyDescent="0.3">
      <c r="B2" s="388"/>
    </row>
    <row r="3" spans="1:10" x14ac:dyDescent="0.3">
      <c r="A3" s="388" t="s">
        <v>1401</v>
      </c>
    </row>
    <row r="4" spans="1:10" ht="16.2" thickBot="1" x14ac:dyDescent="0.35">
      <c r="A4" s="391" t="s">
        <v>177</v>
      </c>
      <c r="B4" s="391" t="s">
        <v>1083</v>
      </c>
      <c r="C4" s="391" t="s">
        <v>1084</v>
      </c>
      <c r="D4" s="391" t="s">
        <v>1085</v>
      </c>
      <c r="E4" s="391" t="s">
        <v>1086</v>
      </c>
      <c r="F4" s="448" t="s">
        <v>1403</v>
      </c>
      <c r="G4" s="448" t="s">
        <v>1404</v>
      </c>
      <c r="H4" s="391" t="s">
        <v>1087</v>
      </c>
      <c r="I4" s="449"/>
    </row>
    <row r="5" spans="1:10" x14ac:dyDescent="0.3">
      <c r="A5" s="390" t="s">
        <v>1088</v>
      </c>
      <c r="B5" s="390" t="s">
        <v>1089</v>
      </c>
      <c r="C5" s="390" t="s">
        <v>1090</v>
      </c>
      <c r="D5" s="390" t="s">
        <v>1091</v>
      </c>
      <c r="E5" s="390" t="s">
        <v>1092</v>
      </c>
      <c r="F5" s="389" t="str">
        <f>RIGHT(E5,3)</f>
        <v>268</v>
      </c>
      <c r="G5" s="389">
        <f>VALUE(F5)</f>
        <v>268</v>
      </c>
      <c r="H5" s="390" t="s">
        <v>1093</v>
      </c>
    </row>
    <row r="6" spans="1:10" x14ac:dyDescent="0.3">
      <c r="A6" s="390" t="s">
        <v>1094</v>
      </c>
      <c r="B6" s="390" t="s">
        <v>1095</v>
      </c>
      <c r="C6" s="390" t="s">
        <v>1096</v>
      </c>
      <c r="D6" s="390" t="s">
        <v>1097</v>
      </c>
      <c r="E6" s="390" t="s">
        <v>1098</v>
      </c>
      <c r="F6" s="389" t="str">
        <f t="shared" ref="F6:F69" si="0">RIGHT(E6,3)</f>
        <v>169</v>
      </c>
      <c r="G6" s="389">
        <f t="shared" ref="G6:G69" si="1">VALUE(F6)</f>
        <v>169</v>
      </c>
      <c r="H6" s="390" t="s">
        <v>1099</v>
      </c>
    </row>
    <row r="7" spans="1:10" x14ac:dyDescent="0.3">
      <c r="A7" s="390" t="s">
        <v>1100</v>
      </c>
      <c r="B7" s="390" t="s">
        <v>1095</v>
      </c>
      <c r="C7" s="390" t="s">
        <v>1101</v>
      </c>
      <c r="D7" s="390" t="s">
        <v>1102</v>
      </c>
      <c r="E7" s="390" t="s">
        <v>1103</v>
      </c>
      <c r="F7" s="389" t="str">
        <f t="shared" si="0"/>
        <v>180</v>
      </c>
      <c r="G7" s="389">
        <f t="shared" si="1"/>
        <v>180</v>
      </c>
      <c r="H7" s="390" t="s">
        <v>1104</v>
      </c>
    </row>
    <row r="8" spans="1:10" x14ac:dyDescent="0.3">
      <c r="A8" s="390" t="s">
        <v>1105</v>
      </c>
      <c r="B8" s="390" t="s">
        <v>1106</v>
      </c>
      <c r="C8" s="390" t="s">
        <v>1107</v>
      </c>
      <c r="D8" s="390" t="s">
        <v>1108</v>
      </c>
      <c r="E8" s="390" t="s">
        <v>1109</v>
      </c>
      <c r="F8" s="389" t="str">
        <f t="shared" si="0"/>
        <v>197</v>
      </c>
      <c r="G8" s="389">
        <f t="shared" si="1"/>
        <v>197</v>
      </c>
      <c r="H8" s="390" t="s">
        <v>1110</v>
      </c>
    </row>
    <row r="9" spans="1:10" x14ac:dyDescent="0.3">
      <c r="A9" s="390" t="s">
        <v>1111</v>
      </c>
      <c r="B9" s="390" t="s">
        <v>1112</v>
      </c>
      <c r="C9" s="390" t="s">
        <v>1101</v>
      </c>
      <c r="D9" s="390" t="s">
        <v>1102</v>
      </c>
      <c r="E9" s="390" t="s">
        <v>1113</v>
      </c>
      <c r="F9" s="389" t="str">
        <f t="shared" si="0"/>
        <v>211</v>
      </c>
      <c r="G9" s="389">
        <f t="shared" si="1"/>
        <v>211</v>
      </c>
      <c r="H9" s="390" t="s">
        <v>1114</v>
      </c>
    </row>
    <row r="10" spans="1:10" x14ac:dyDescent="0.3">
      <c r="A10" s="390" t="s">
        <v>1115</v>
      </c>
      <c r="B10" s="390" t="s">
        <v>1116</v>
      </c>
      <c r="C10" s="390" t="s">
        <v>1090</v>
      </c>
      <c r="D10" s="390" t="s">
        <v>1091</v>
      </c>
      <c r="E10" s="390" t="s">
        <v>1117</v>
      </c>
      <c r="F10" s="389" t="str">
        <f t="shared" si="0"/>
        <v>239</v>
      </c>
      <c r="G10" s="389">
        <f t="shared" si="1"/>
        <v>239</v>
      </c>
      <c r="H10" s="390" t="s">
        <v>1118</v>
      </c>
    </row>
    <row r="11" spans="1:10" x14ac:dyDescent="0.3">
      <c r="A11" s="390" t="s">
        <v>1119</v>
      </c>
      <c r="B11" s="390" t="s">
        <v>1116</v>
      </c>
      <c r="C11" s="390" t="s">
        <v>1101</v>
      </c>
      <c r="D11" s="390" t="s">
        <v>1102</v>
      </c>
      <c r="E11" s="390" t="s">
        <v>1120</v>
      </c>
      <c r="F11" s="389" t="str">
        <f t="shared" si="0"/>
        <v>192</v>
      </c>
      <c r="G11" s="389">
        <f t="shared" si="1"/>
        <v>192</v>
      </c>
      <c r="H11" s="390" t="s">
        <v>1121</v>
      </c>
    </row>
    <row r="12" spans="1:10" x14ac:dyDescent="0.3">
      <c r="A12" s="390" t="s">
        <v>1122</v>
      </c>
      <c r="B12" s="390" t="s">
        <v>1123</v>
      </c>
      <c r="C12" s="390" t="s">
        <v>1096</v>
      </c>
      <c r="D12" s="390" t="s">
        <v>1097</v>
      </c>
      <c r="E12" s="390" t="s">
        <v>1124</v>
      </c>
      <c r="F12" s="389" t="str">
        <f t="shared" si="0"/>
        <v>232</v>
      </c>
      <c r="G12" s="389">
        <f t="shared" si="1"/>
        <v>232</v>
      </c>
      <c r="H12" s="390" t="s">
        <v>1125</v>
      </c>
    </row>
    <row r="13" spans="1:10" x14ac:dyDescent="0.3">
      <c r="A13" s="390" t="s">
        <v>1126</v>
      </c>
      <c r="B13" s="390" t="s">
        <v>1127</v>
      </c>
      <c r="C13" s="390" t="s">
        <v>1101</v>
      </c>
      <c r="D13" s="390" t="s">
        <v>1102</v>
      </c>
      <c r="E13" s="390" t="s">
        <v>1128</v>
      </c>
      <c r="F13" s="389" t="str">
        <f t="shared" si="0"/>
        <v>205</v>
      </c>
      <c r="G13" s="389">
        <f t="shared" si="1"/>
        <v>205</v>
      </c>
      <c r="H13" s="390" t="s">
        <v>1129</v>
      </c>
    </row>
    <row r="14" spans="1:10" x14ac:dyDescent="0.3">
      <c r="A14" s="390" t="s">
        <v>1130</v>
      </c>
      <c r="B14" s="390" t="s">
        <v>1106</v>
      </c>
      <c r="C14" s="390" t="s">
        <v>1107</v>
      </c>
      <c r="D14" s="390" t="s">
        <v>1108</v>
      </c>
      <c r="E14" s="390" t="s">
        <v>1131</v>
      </c>
      <c r="F14" s="389" t="str">
        <f t="shared" si="0"/>
        <v>215</v>
      </c>
      <c r="G14" s="389">
        <f t="shared" si="1"/>
        <v>215</v>
      </c>
      <c r="H14" s="390" t="s">
        <v>1099</v>
      </c>
    </row>
    <row r="15" spans="1:10" x14ac:dyDescent="0.3">
      <c r="A15" s="390" t="s">
        <v>1132</v>
      </c>
      <c r="B15" s="390" t="s">
        <v>1095</v>
      </c>
      <c r="C15" s="390" t="s">
        <v>1090</v>
      </c>
      <c r="D15" s="390" t="s">
        <v>1091</v>
      </c>
      <c r="E15" s="390" t="s">
        <v>1133</v>
      </c>
      <c r="F15" s="389" t="str">
        <f t="shared" si="0"/>
        <v>185</v>
      </c>
      <c r="G15" s="389">
        <f t="shared" si="1"/>
        <v>185</v>
      </c>
      <c r="H15" s="390" t="s">
        <v>1134</v>
      </c>
    </row>
    <row r="16" spans="1:10" x14ac:dyDescent="0.3">
      <c r="A16" s="390" t="s">
        <v>1135</v>
      </c>
      <c r="B16" s="390" t="s">
        <v>1116</v>
      </c>
      <c r="C16" s="390" t="s">
        <v>1090</v>
      </c>
      <c r="D16" s="390" t="s">
        <v>1091</v>
      </c>
      <c r="E16" s="390" t="s">
        <v>1136</v>
      </c>
      <c r="F16" s="389" t="str">
        <f t="shared" si="0"/>
        <v>207</v>
      </c>
      <c r="G16" s="389">
        <f t="shared" si="1"/>
        <v>207</v>
      </c>
      <c r="H16" s="390" t="s">
        <v>1125</v>
      </c>
    </row>
    <row r="17" spans="1:8" x14ac:dyDescent="0.3">
      <c r="A17" s="390" t="s">
        <v>1137</v>
      </c>
      <c r="B17" s="390" t="s">
        <v>1127</v>
      </c>
      <c r="C17" s="390" t="s">
        <v>1096</v>
      </c>
      <c r="D17" s="390" t="s">
        <v>1097</v>
      </c>
      <c r="E17" s="390" t="s">
        <v>1138</v>
      </c>
      <c r="F17" s="389" t="str">
        <f t="shared" si="0"/>
        <v>182</v>
      </c>
      <c r="G17" s="389">
        <f t="shared" si="1"/>
        <v>182</v>
      </c>
      <c r="H17" s="390" t="s">
        <v>1139</v>
      </c>
    </row>
    <row r="18" spans="1:8" x14ac:dyDescent="0.3">
      <c r="A18" s="390" t="s">
        <v>1140</v>
      </c>
      <c r="B18" s="390" t="s">
        <v>1141</v>
      </c>
      <c r="C18" s="390" t="s">
        <v>1101</v>
      </c>
      <c r="D18" s="390" t="s">
        <v>1102</v>
      </c>
      <c r="E18" s="390" t="s">
        <v>1142</v>
      </c>
      <c r="F18" s="389" t="str">
        <f t="shared" si="0"/>
        <v>201</v>
      </c>
      <c r="G18" s="389">
        <f t="shared" si="1"/>
        <v>201</v>
      </c>
      <c r="H18" s="390" t="s">
        <v>1143</v>
      </c>
    </row>
    <row r="19" spans="1:8" x14ac:dyDescent="0.3">
      <c r="A19" s="390" t="s">
        <v>1144</v>
      </c>
      <c r="B19" s="390" t="s">
        <v>1127</v>
      </c>
      <c r="C19" s="390" t="s">
        <v>1096</v>
      </c>
      <c r="D19" s="390" t="s">
        <v>1097</v>
      </c>
      <c r="E19" s="390" t="s">
        <v>1145</v>
      </c>
      <c r="F19" s="389" t="str">
        <f t="shared" si="0"/>
        <v>176</v>
      </c>
      <c r="G19" s="389">
        <f t="shared" si="1"/>
        <v>176</v>
      </c>
      <c r="H19" s="390" t="s">
        <v>1146</v>
      </c>
    </row>
    <row r="20" spans="1:8" x14ac:dyDescent="0.3">
      <c r="A20" s="390" t="s">
        <v>1147</v>
      </c>
      <c r="B20" s="390" t="s">
        <v>1127</v>
      </c>
      <c r="C20" s="390" t="s">
        <v>1090</v>
      </c>
      <c r="D20" s="390" t="s">
        <v>1148</v>
      </c>
      <c r="E20" s="390" t="s">
        <v>1149</v>
      </c>
      <c r="F20" s="389" t="str">
        <f t="shared" si="0"/>
        <v>212</v>
      </c>
      <c r="G20" s="389">
        <f t="shared" si="1"/>
        <v>212</v>
      </c>
      <c r="H20" s="390" t="s">
        <v>1150</v>
      </c>
    </row>
    <row r="21" spans="1:8" x14ac:dyDescent="0.3">
      <c r="A21" s="390" t="s">
        <v>1151</v>
      </c>
      <c r="B21" s="390" t="s">
        <v>1127</v>
      </c>
      <c r="C21" s="390" t="s">
        <v>1107</v>
      </c>
      <c r="D21" s="390" t="s">
        <v>1152</v>
      </c>
      <c r="E21" s="390" t="s">
        <v>1153</v>
      </c>
      <c r="F21" s="389" t="str">
        <f t="shared" si="0"/>
        <v>206</v>
      </c>
      <c r="G21" s="389">
        <f t="shared" si="1"/>
        <v>206</v>
      </c>
      <c r="H21" s="390" t="s">
        <v>1154</v>
      </c>
    </row>
    <row r="22" spans="1:8" x14ac:dyDescent="0.3">
      <c r="A22" s="390" t="s">
        <v>1155</v>
      </c>
      <c r="B22" s="390" t="s">
        <v>1106</v>
      </c>
      <c r="C22" s="390" t="s">
        <v>1107</v>
      </c>
      <c r="D22" s="390" t="s">
        <v>1097</v>
      </c>
      <c r="E22" s="390" t="s">
        <v>1131</v>
      </c>
      <c r="F22" s="389" t="str">
        <f t="shared" si="0"/>
        <v>215</v>
      </c>
      <c r="G22" s="389">
        <f t="shared" si="1"/>
        <v>215</v>
      </c>
      <c r="H22" s="390" t="s">
        <v>1156</v>
      </c>
    </row>
    <row r="23" spans="1:8" x14ac:dyDescent="0.3">
      <c r="A23" s="390" t="s">
        <v>1157</v>
      </c>
      <c r="B23" s="390" t="s">
        <v>1127</v>
      </c>
      <c r="C23" s="390" t="s">
        <v>1096</v>
      </c>
      <c r="D23" s="390" t="s">
        <v>1097</v>
      </c>
      <c r="E23" s="390" t="s">
        <v>1158</v>
      </c>
      <c r="F23" s="389" t="str">
        <f t="shared" si="0"/>
        <v>173</v>
      </c>
      <c r="G23" s="389">
        <f t="shared" si="1"/>
        <v>173</v>
      </c>
      <c r="H23" s="390" t="s">
        <v>1159</v>
      </c>
    </row>
    <row r="24" spans="1:8" x14ac:dyDescent="0.3">
      <c r="A24" s="390" t="s">
        <v>1160</v>
      </c>
      <c r="B24" s="390" t="s">
        <v>1106</v>
      </c>
      <c r="C24" s="390" t="s">
        <v>1096</v>
      </c>
      <c r="D24" s="390" t="s">
        <v>1097</v>
      </c>
      <c r="E24" s="390" t="s">
        <v>1161</v>
      </c>
      <c r="F24" s="389" t="str">
        <f t="shared" si="0"/>
        <v>210</v>
      </c>
      <c r="G24" s="389">
        <f t="shared" si="1"/>
        <v>210</v>
      </c>
      <c r="H24" s="390" t="s">
        <v>1162</v>
      </c>
    </row>
    <row r="25" spans="1:8" x14ac:dyDescent="0.3">
      <c r="A25" s="390" t="s">
        <v>1163</v>
      </c>
      <c r="B25" s="390" t="s">
        <v>1095</v>
      </c>
      <c r="C25" s="390" t="s">
        <v>1096</v>
      </c>
      <c r="D25" s="390" t="s">
        <v>1097</v>
      </c>
      <c r="E25" s="390" t="s">
        <v>1164</v>
      </c>
      <c r="F25" s="389" t="str">
        <f t="shared" si="0"/>
        <v>210</v>
      </c>
      <c r="G25" s="389">
        <f t="shared" si="1"/>
        <v>210</v>
      </c>
      <c r="H25" s="390" t="s">
        <v>1165</v>
      </c>
    </row>
    <row r="26" spans="1:8" x14ac:dyDescent="0.3">
      <c r="A26" s="390" t="s">
        <v>1166</v>
      </c>
      <c r="B26" s="390" t="s">
        <v>1167</v>
      </c>
      <c r="C26" s="390" t="s">
        <v>1101</v>
      </c>
      <c r="D26" s="390" t="s">
        <v>1102</v>
      </c>
      <c r="E26" s="390" t="s">
        <v>1168</v>
      </c>
      <c r="F26" s="389" t="str">
        <f t="shared" si="0"/>
        <v>218</v>
      </c>
      <c r="G26" s="389">
        <f t="shared" si="1"/>
        <v>218</v>
      </c>
      <c r="H26" s="390" t="s">
        <v>1169</v>
      </c>
    </row>
    <row r="27" spans="1:8" x14ac:dyDescent="0.3">
      <c r="A27" s="390" t="s">
        <v>1170</v>
      </c>
      <c r="B27" s="390" t="s">
        <v>1095</v>
      </c>
      <c r="C27" s="390" t="s">
        <v>1107</v>
      </c>
      <c r="D27" s="390" t="s">
        <v>1108</v>
      </c>
      <c r="E27" s="390" t="s">
        <v>1171</v>
      </c>
      <c r="F27" s="389" t="str">
        <f t="shared" si="0"/>
        <v>195</v>
      </c>
      <c r="G27" s="389">
        <f t="shared" si="1"/>
        <v>195</v>
      </c>
      <c r="H27" s="390" t="s">
        <v>1172</v>
      </c>
    </row>
    <row r="28" spans="1:8" x14ac:dyDescent="0.3">
      <c r="A28" s="390" t="s">
        <v>1173</v>
      </c>
      <c r="B28" s="390" t="s">
        <v>1106</v>
      </c>
      <c r="C28" s="390" t="s">
        <v>1101</v>
      </c>
      <c r="D28" s="390" t="s">
        <v>1174</v>
      </c>
      <c r="E28" s="390" t="s">
        <v>1175</v>
      </c>
      <c r="F28" s="389" t="str">
        <f t="shared" si="0"/>
        <v>196</v>
      </c>
      <c r="G28" s="389">
        <f t="shared" si="1"/>
        <v>196</v>
      </c>
      <c r="H28" s="390" t="s">
        <v>1176</v>
      </c>
    </row>
    <row r="29" spans="1:8" x14ac:dyDescent="0.3">
      <c r="A29" s="390" t="s">
        <v>1177</v>
      </c>
      <c r="B29" s="390" t="s">
        <v>1178</v>
      </c>
      <c r="C29" s="390" t="s">
        <v>1096</v>
      </c>
      <c r="D29" s="390" t="s">
        <v>1097</v>
      </c>
      <c r="E29" s="390" t="s">
        <v>1113</v>
      </c>
      <c r="F29" s="389" t="str">
        <f t="shared" si="0"/>
        <v>211</v>
      </c>
      <c r="G29" s="389">
        <f t="shared" si="1"/>
        <v>211</v>
      </c>
      <c r="H29" s="390" t="s">
        <v>1179</v>
      </c>
    </row>
    <row r="30" spans="1:8" x14ac:dyDescent="0.3">
      <c r="A30" s="390" t="s">
        <v>1180</v>
      </c>
      <c r="B30" s="390" t="s">
        <v>1095</v>
      </c>
      <c r="C30" s="390" t="s">
        <v>1107</v>
      </c>
      <c r="D30" s="390" t="s">
        <v>1152</v>
      </c>
      <c r="E30" s="390" t="s">
        <v>1181</v>
      </c>
      <c r="F30" s="389" t="str">
        <f t="shared" si="0"/>
        <v>174</v>
      </c>
      <c r="G30" s="389">
        <f t="shared" si="1"/>
        <v>174</v>
      </c>
      <c r="H30" s="390" t="s">
        <v>1182</v>
      </c>
    </row>
    <row r="31" spans="1:8" x14ac:dyDescent="0.3">
      <c r="A31" s="390" t="s">
        <v>1183</v>
      </c>
      <c r="B31" s="390" t="s">
        <v>1112</v>
      </c>
      <c r="C31" s="390" t="s">
        <v>1096</v>
      </c>
      <c r="D31" s="390" t="s">
        <v>1097</v>
      </c>
      <c r="E31" s="390" t="s">
        <v>1184</v>
      </c>
      <c r="F31" s="389" t="str">
        <f t="shared" si="0"/>
        <v>204</v>
      </c>
      <c r="G31" s="389">
        <f t="shared" si="1"/>
        <v>204</v>
      </c>
      <c r="H31" s="390" t="s">
        <v>1185</v>
      </c>
    </row>
    <row r="32" spans="1:8" x14ac:dyDescent="0.3">
      <c r="A32" s="390" t="s">
        <v>1186</v>
      </c>
      <c r="B32" s="390" t="s">
        <v>1127</v>
      </c>
      <c r="C32" s="390" t="s">
        <v>1101</v>
      </c>
      <c r="D32" s="390" t="s">
        <v>1102</v>
      </c>
      <c r="E32" s="390" t="s">
        <v>1187</v>
      </c>
      <c r="F32" s="389" t="str">
        <f t="shared" si="0"/>
        <v>209</v>
      </c>
      <c r="G32" s="389">
        <f t="shared" si="1"/>
        <v>209</v>
      </c>
      <c r="H32" s="390" t="s">
        <v>1188</v>
      </c>
    </row>
    <row r="33" spans="1:8" x14ac:dyDescent="0.3">
      <c r="A33" s="390" t="s">
        <v>1189</v>
      </c>
      <c r="B33" s="390" t="s">
        <v>1106</v>
      </c>
      <c r="C33" s="390" t="s">
        <v>1096</v>
      </c>
      <c r="D33" s="390" t="s">
        <v>1097</v>
      </c>
      <c r="E33" s="390" t="s">
        <v>1190</v>
      </c>
      <c r="F33" s="389" t="str">
        <f t="shared" si="0"/>
        <v>201</v>
      </c>
      <c r="G33" s="389">
        <f t="shared" si="1"/>
        <v>201</v>
      </c>
      <c r="H33" s="390" t="s">
        <v>1191</v>
      </c>
    </row>
    <row r="34" spans="1:8" x14ac:dyDescent="0.3">
      <c r="A34" s="390" t="s">
        <v>1192</v>
      </c>
      <c r="B34" s="390" t="s">
        <v>1095</v>
      </c>
      <c r="C34" s="390" t="s">
        <v>1101</v>
      </c>
      <c r="D34" s="390" t="s">
        <v>1102</v>
      </c>
      <c r="E34" s="390" t="s">
        <v>1193</v>
      </c>
      <c r="F34" s="389" t="str">
        <f t="shared" si="0"/>
        <v>192</v>
      </c>
      <c r="G34" s="389">
        <f t="shared" si="1"/>
        <v>192</v>
      </c>
      <c r="H34" s="390" t="s">
        <v>1194</v>
      </c>
    </row>
    <row r="35" spans="1:8" x14ac:dyDescent="0.3">
      <c r="A35" s="390" t="s">
        <v>1195</v>
      </c>
      <c r="B35" s="390" t="s">
        <v>1112</v>
      </c>
      <c r="C35" s="390" t="s">
        <v>1096</v>
      </c>
      <c r="D35" s="390" t="s">
        <v>1097</v>
      </c>
      <c r="E35" s="390" t="s">
        <v>1196</v>
      </c>
      <c r="F35" s="389" t="str">
        <f t="shared" si="0"/>
        <v>179</v>
      </c>
      <c r="G35" s="389">
        <f t="shared" si="1"/>
        <v>179</v>
      </c>
      <c r="H35" s="390" t="s">
        <v>1197</v>
      </c>
    </row>
    <row r="36" spans="1:8" x14ac:dyDescent="0.3">
      <c r="A36" s="390" t="s">
        <v>1198</v>
      </c>
      <c r="B36" s="390" t="s">
        <v>1106</v>
      </c>
      <c r="C36" s="390" t="s">
        <v>1107</v>
      </c>
      <c r="D36" s="390" t="s">
        <v>1152</v>
      </c>
      <c r="E36" s="390" t="s">
        <v>1164</v>
      </c>
      <c r="F36" s="389" t="str">
        <f t="shared" si="0"/>
        <v>210</v>
      </c>
      <c r="G36" s="389">
        <f t="shared" si="1"/>
        <v>210</v>
      </c>
      <c r="H36" s="390" t="s">
        <v>1199</v>
      </c>
    </row>
    <row r="37" spans="1:8" x14ac:dyDescent="0.3">
      <c r="A37" s="390" t="s">
        <v>1200</v>
      </c>
      <c r="B37" s="390" t="s">
        <v>1201</v>
      </c>
      <c r="C37" s="390" t="s">
        <v>1101</v>
      </c>
      <c r="D37" s="390" t="s">
        <v>1102</v>
      </c>
      <c r="E37" s="390" t="s">
        <v>1202</v>
      </c>
      <c r="F37" s="389" t="str">
        <f t="shared" si="0"/>
        <v>200</v>
      </c>
      <c r="G37" s="389">
        <f t="shared" si="1"/>
        <v>200</v>
      </c>
      <c r="H37" s="390" t="s">
        <v>1203</v>
      </c>
    </row>
    <row r="38" spans="1:8" x14ac:dyDescent="0.3">
      <c r="A38" s="390" t="s">
        <v>1204</v>
      </c>
      <c r="B38" s="390" t="s">
        <v>1112</v>
      </c>
      <c r="C38" s="390" t="s">
        <v>1107</v>
      </c>
      <c r="D38" s="390" t="s">
        <v>1152</v>
      </c>
      <c r="E38" s="390" t="s">
        <v>1205</v>
      </c>
      <c r="F38" s="389" t="str">
        <f t="shared" si="0"/>
        <v>197</v>
      </c>
      <c r="G38" s="389">
        <f t="shared" si="1"/>
        <v>197</v>
      </c>
      <c r="H38" s="390" t="s">
        <v>1206</v>
      </c>
    </row>
    <row r="39" spans="1:8" x14ac:dyDescent="0.3">
      <c r="A39" s="390" t="s">
        <v>1207</v>
      </c>
      <c r="B39" s="390" t="s">
        <v>1208</v>
      </c>
      <c r="C39" s="390" t="s">
        <v>1090</v>
      </c>
      <c r="D39" s="390" t="s">
        <v>1091</v>
      </c>
      <c r="E39" s="390" t="s">
        <v>1209</v>
      </c>
      <c r="F39" s="389" t="str">
        <f t="shared" si="0"/>
        <v>217</v>
      </c>
      <c r="G39" s="389">
        <f t="shared" si="1"/>
        <v>217</v>
      </c>
      <c r="H39" s="390" t="s">
        <v>1210</v>
      </c>
    </row>
    <row r="40" spans="1:8" x14ac:dyDescent="0.3">
      <c r="A40" s="390" t="s">
        <v>1211</v>
      </c>
      <c r="B40" s="390" t="s">
        <v>1208</v>
      </c>
      <c r="C40" s="390" t="s">
        <v>1107</v>
      </c>
      <c r="D40" s="390" t="s">
        <v>1108</v>
      </c>
      <c r="E40" s="390" t="s">
        <v>1212</v>
      </c>
      <c r="F40" s="389" t="str">
        <f t="shared" si="0"/>
        <v>226</v>
      </c>
      <c r="G40" s="389">
        <f t="shared" si="1"/>
        <v>226</v>
      </c>
      <c r="H40" s="390" t="s">
        <v>1213</v>
      </c>
    </row>
    <row r="41" spans="1:8" x14ac:dyDescent="0.3">
      <c r="A41" s="390" t="s">
        <v>1214</v>
      </c>
      <c r="B41" s="390" t="s">
        <v>1106</v>
      </c>
      <c r="C41" s="390" t="s">
        <v>1090</v>
      </c>
      <c r="D41" s="390" t="s">
        <v>1091</v>
      </c>
      <c r="E41" s="390" t="s">
        <v>1215</v>
      </c>
      <c r="F41" s="389" t="str">
        <f t="shared" si="0"/>
        <v>200</v>
      </c>
      <c r="G41" s="389">
        <f t="shared" si="1"/>
        <v>200</v>
      </c>
      <c r="H41" s="390" t="s">
        <v>1216</v>
      </c>
    </row>
    <row r="42" spans="1:8" x14ac:dyDescent="0.3">
      <c r="A42" s="390" t="s">
        <v>1217</v>
      </c>
      <c r="B42" s="390" t="s">
        <v>1208</v>
      </c>
      <c r="C42" s="390" t="s">
        <v>1107</v>
      </c>
      <c r="D42" s="390" t="s">
        <v>1152</v>
      </c>
      <c r="E42" s="390" t="s">
        <v>1218</v>
      </c>
      <c r="F42" s="389" t="str">
        <f t="shared" si="0"/>
        <v>226</v>
      </c>
      <c r="G42" s="389">
        <f t="shared" si="1"/>
        <v>226</v>
      </c>
      <c r="H42" s="390" t="s">
        <v>1219</v>
      </c>
    </row>
    <row r="43" spans="1:8" x14ac:dyDescent="0.3">
      <c r="A43" s="390" t="s">
        <v>1220</v>
      </c>
      <c r="B43" s="390" t="s">
        <v>1221</v>
      </c>
      <c r="C43" s="390" t="s">
        <v>1101</v>
      </c>
      <c r="D43" s="390" t="s">
        <v>1102</v>
      </c>
      <c r="E43" s="390" t="s">
        <v>1222</v>
      </c>
      <c r="F43" s="389" t="str">
        <f t="shared" si="0"/>
        <v>219</v>
      </c>
      <c r="G43" s="389">
        <f t="shared" si="1"/>
        <v>219</v>
      </c>
      <c r="H43" s="390" t="s">
        <v>1223</v>
      </c>
    </row>
    <row r="44" spans="1:8" x14ac:dyDescent="0.3">
      <c r="A44" s="390" t="s">
        <v>1224</v>
      </c>
      <c r="B44" s="390" t="s">
        <v>1106</v>
      </c>
      <c r="C44" s="390" t="s">
        <v>1101</v>
      </c>
      <c r="D44" s="390" t="s">
        <v>1102</v>
      </c>
      <c r="E44" s="390" t="s">
        <v>1131</v>
      </c>
      <c r="F44" s="389" t="str">
        <f t="shared" si="0"/>
        <v>215</v>
      </c>
      <c r="G44" s="389">
        <f t="shared" si="1"/>
        <v>215</v>
      </c>
      <c r="H44" s="390" t="s">
        <v>1225</v>
      </c>
    </row>
    <row r="45" spans="1:8" x14ac:dyDescent="0.3">
      <c r="A45" s="390" t="s">
        <v>1226</v>
      </c>
      <c r="B45" s="390" t="s">
        <v>275</v>
      </c>
      <c r="C45" s="390" t="s">
        <v>1101</v>
      </c>
      <c r="D45" s="390" t="s">
        <v>1102</v>
      </c>
      <c r="E45" s="390" t="s">
        <v>1227</v>
      </c>
      <c r="F45" s="389" t="str">
        <f t="shared" si="0"/>
        <v>264</v>
      </c>
      <c r="G45" s="389">
        <f t="shared" si="1"/>
        <v>264</v>
      </c>
      <c r="H45" s="390" t="s">
        <v>1228</v>
      </c>
    </row>
    <row r="46" spans="1:8" x14ac:dyDescent="0.3">
      <c r="A46" s="390" t="s">
        <v>1229</v>
      </c>
      <c r="B46" s="390" t="s">
        <v>1230</v>
      </c>
      <c r="C46" s="390" t="s">
        <v>1096</v>
      </c>
      <c r="D46" s="390" t="s">
        <v>1097</v>
      </c>
      <c r="E46" s="390" t="s">
        <v>1231</v>
      </c>
      <c r="F46" s="389" t="str">
        <f t="shared" si="0"/>
        <v>213</v>
      </c>
      <c r="G46" s="389">
        <f t="shared" si="1"/>
        <v>213</v>
      </c>
      <c r="H46" s="390" t="s">
        <v>1232</v>
      </c>
    </row>
    <row r="47" spans="1:8" x14ac:dyDescent="0.3">
      <c r="A47" s="390" t="s">
        <v>1233</v>
      </c>
      <c r="B47" s="390" t="s">
        <v>1208</v>
      </c>
      <c r="C47" s="390" t="s">
        <v>1101</v>
      </c>
      <c r="D47" s="390" t="s">
        <v>1102</v>
      </c>
      <c r="E47" s="390" t="s">
        <v>1234</v>
      </c>
      <c r="F47" s="389" t="str">
        <f t="shared" si="0"/>
        <v>230</v>
      </c>
      <c r="G47" s="389">
        <f t="shared" si="1"/>
        <v>230</v>
      </c>
      <c r="H47" s="390" t="s">
        <v>1235</v>
      </c>
    </row>
    <row r="48" spans="1:8" x14ac:dyDescent="0.3">
      <c r="A48" s="390" t="s">
        <v>1236</v>
      </c>
      <c r="B48" s="390" t="s">
        <v>275</v>
      </c>
      <c r="C48" s="390" t="s">
        <v>1107</v>
      </c>
      <c r="D48" s="390" t="s">
        <v>1108</v>
      </c>
      <c r="E48" s="390" t="s">
        <v>1237</v>
      </c>
      <c r="F48" s="389" t="str">
        <f t="shared" si="0"/>
        <v>258</v>
      </c>
      <c r="G48" s="389">
        <f t="shared" si="1"/>
        <v>258</v>
      </c>
      <c r="H48" s="390" t="s">
        <v>1238</v>
      </c>
    </row>
    <row r="49" spans="1:8" x14ac:dyDescent="0.3">
      <c r="A49" s="390" t="s">
        <v>1239</v>
      </c>
      <c r="B49" s="390" t="s">
        <v>1230</v>
      </c>
      <c r="C49" s="390" t="s">
        <v>1101</v>
      </c>
      <c r="D49" s="390" t="s">
        <v>1097</v>
      </c>
      <c r="E49" s="390" t="s">
        <v>1240</v>
      </c>
      <c r="F49" s="389" t="str">
        <f t="shared" si="0"/>
        <v>240</v>
      </c>
      <c r="G49" s="389">
        <f t="shared" si="1"/>
        <v>240</v>
      </c>
      <c r="H49" s="390" t="s">
        <v>1146</v>
      </c>
    </row>
    <row r="50" spans="1:8" x14ac:dyDescent="0.3">
      <c r="A50" s="390" t="s">
        <v>1241</v>
      </c>
      <c r="B50" s="390" t="s">
        <v>1221</v>
      </c>
      <c r="C50" s="390" t="s">
        <v>1096</v>
      </c>
      <c r="D50" s="390" t="s">
        <v>1097</v>
      </c>
      <c r="E50" s="390" t="s">
        <v>1242</v>
      </c>
      <c r="F50" s="389" t="str">
        <f t="shared" si="0"/>
        <v>217</v>
      </c>
      <c r="G50" s="389">
        <f t="shared" si="1"/>
        <v>217</v>
      </c>
      <c r="H50" s="390" t="s">
        <v>1114</v>
      </c>
    </row>
    <row r="51" spans="1:8" x14ac:dyDescent="0.3">
      <c r="A51" s="390" t="s">
        <v>1243</v>
      </c>
      <c r="B51" s="390" t="s">
        <v>1127</v>
      </c>
      <c r="C51" s="390" t="s">
        <v>1107</v>
      </c>
      <c r="D51" s="390" t="s">
        <v>1102</v>
      </c>
      <c r="E51" s="390" t="s">
        <v>1244</v>
      </c>
      <c r="F51" s="389" t="str">
        <f t="shared" si="0"/>
        <v>198</v>
      </c>
      <c r="G51" s="389">
        <f t="shared" si="1"/>
        <v>198</v>
      </c>
      <c r="H51" s="390" t="s">
        <v>1245</v>
      </c>
    </row>
    <row r="52" spans="1:8" x14ac:dyDescent="0.3">
      <c r="A52" s="390" t="s">
        <v>1246</v>
      </c>
      <c r="B52" s="390" t="s">
        <v>1208</v>
      </c>
      <c r="C52" s="390" t="s">
        <v>1096</v>
      </c>
      <c r="D52" s="390" t="s">
        <v>1097</v>
      </c>
      <c r="E52" s="390" t="s">
        <v>1247</v>
      </c>
      <c r="F52" s="389" t="str">
        <f t="shared" si="0"/>
        <v>197</v>
      </c>
      <c r="G52" s="389">
        <f t="shared" si="1"/>
        <v>197</v>
      </c>
      <c r="H52" s="390" t="s">
        <v>1248</v>
      </c>
    </row>
    <row r="53" spans="1:8" x14ac:dyDescent="0.3">
      <c r="A53" s="390" t="s">
        <v>1249</v>
      </c>
      <c r="B53" s="390" t="s">
        <v>1230</v>
      </c>
      <c r="C53" s="390" t="s">
        <v>1107</v>
      </c>
      <c r="D53" s="390" t="s">
        <v>1152</v>
      </c>
      <c r="E53" s="390" t="s">
        <v>1250</v>
      </c>
      <c r="F53" s="389" t="str">
        <f t="shared" si="0"/>
        <v>242</v>
      </c>
      <c r="G53" s="389">
        <f t="shared" si="1"/>
        <v>242</v>
      </c>
      <c r="H53" s="390" t="s">
        <v>1251</v>
      </c>
    </row>
    <row r="54" spans="1:8" x14ac:dyDescent="0.3">
      <c r="A54" s="390" t="s">
        <v>1252</v>
      </c>
      <c r="B54" s="390" t="s">
        <v>1230</v>
      </c>
      <c r="C54" s="390" t="s">
        <v>1107</v>
      </c>
      <c r="D54" s="390" t="s">
        <v>1152</v>
      </c>
      <c r="E54" s="390" t="s">
        <v>1253</v>
      </c>
      <c r="F54" s="389" t="str">
        <f t="shared" si="0"/>
        <v>246</v>
      </c>
      <c r="G54" s="389">
        <f t="shared" si="1"/>
        <v>246</v>
      </c>
      <c r="H54" s="390" t="s">
        <v>1254</v>
      </c>
    </row>
    <row r="55" spans="1:8" x14ac:dyDescent="0.3">
      <c r="A55" s="390" t="s">
        <v>1255</v>
      </c>
      <c r="B55" s="390" t="s">
        <v>1221</v>
      </c>
      <c r="C55" s="390" t="s">
        <v>1107</v>
      </c>
      <c r="D55" s="390" t="s">
        <v>1152</v>
      </c>
      <c r="E55" s="390" t="s">
        <v>1256</v>
      </c>
      <c r="F55" s="389" t="str">
        <f t="shared" si="0"/>
        <v>257</v>
      </c>
      <c r="G55" s="389">
        <f t="shared" si="1"/>
        <v>257</v>
      </c>
      <c r="H55" s="390" t="s">
        <v>1225</v>
      </c>
    </row>
    <row r="56" spans="1:8" x14ac:dyDescent="0.3">
      <c r="A56" s="390" t="s">
        <v>1257</v>
      </c>
      <c r="B56" s="390" t="s">
        <v>1221</v>
      </c>
      <c r="C56" s="390" t="s">
        <v>1107</v>
      </c>
      <c r="D56" s="390" t="s">
        <v>1152</v>
      </c>
      <c r="E56" s="390" t="s">
        <v>1258</v>
      </c>
      <c r="F56" s="389" t="str">
        <f t="shared" si="0"/>
        <v>228</v>
      </c>
      <c r="G56" s="389">
        <f t="shared" si="1"/>
        <v>228</v>
      </c>
      <c r="H56" s="390" t="s">
        <v>1259</v>
      </c>
    </row>
    <row r="57" spans="1:8" x14ac:dyDescent="0.3">
      <c r="A57" s="390" t="s">
        <v>1260</v>
      </c>
      <c r="B57" s="390" t="s">
        <v>1208</v>
      </c>
      <c r="C57" s="390" t="s">
        <v>1107</v>
      </c>
      <c r="D57" s="390" t="s">
        <v>1152</v>
      </c>
      <c r="E57" s="390" t="s">
        <v>1261</v>
      </c>
      <c r="F57" s="389" t="str">
        <f t="shared" si="0"/>
        <v>233</v>
      </c>
      <c r="G57" s="389">
        <f t="shared" si="1"/>
        <v>233</v>
      </c>
      <c r="H57" s="390" t="s">
        <v>1262</v>
      </c>
    </row>
    <row r="58" spans="1:8" x14ac:dyDescent="0.3">
      <c r="A58" s="390" t="s">
        <v>1263</v>
      </c>
      <c r="B58" s="390" t="s">
        <v>275</v>
      </c>
      <c r="C58" s="390" t="s">
        <v>1096</v>
      </c>
      <c r="D58" s="390" t="s">
        <v>1097</v>
      </c>
      <c r="E58" s="390" t="s">
        <v>1264</v>
      </c>
      <c r="F58" s="389" t="str">
        <f t="shared" si="0"/>
        <v>258</v>
      </c>
      <c r="G58" s="389">
        <f t="shared" si="1"/>
        <v>258</v>
      </c>
      <c r="H58" s="390" t="s">
        <v>1265</v>
      </c>
    </row>
    <row r="59" spans="1:8" x14ac:dyDescent="0.3">
      <c r="A59" s="390" t="s">
        <v>1266</v>
      </c>
      <c r="B59" s="390" t="s">
        <v>1267</v>
      </c>
      <c r="C59" s="390" t="s">
        <v>1101</v>
      </c>
      <c r="D59" s="390" t="s">
        <v>1102</v>
      </c>
      <c r="E59" s="390" t="s">
        <v>1268</v>
      </c>
      <c r="F59" s="389" t="str">
        <f t="shared" si="0"/>
        <v>335</v>
      </c>
      <c r="G59" s="389">
        <f t="shared" si="1"/>
        <v>335</v>
      </c>
      <c r="H59" s="390" t="s">
        <v>1269</v>
      </c>
    </row>
    <row r="60" spans="1:8" x14ac:dyDescent="0.3">
      <c r="A60" s="390" t="s">
        <v>1270</v>
      </c>
      <c r="B60" s="390" t="s">
        <v>1089</v>
      </c>
      <c r="C60" s="390" t="s">
        <v>1090</v>
      </c>
      <c r="D60" s="390" t="s">
        <v>1091</v>
      </c>
      <c r="E60" s="390" t="s">
        <v>1271</v>
      </c>
      <c r="F60" s="389" t="str">
        <f t="shared" si="0"/>
        <v>294</v>
      </c>
      <c r="G60" s="389">
        <f t="shared" si="1"/>
        <v>294</v>
      </c>
      <c r="H60" s="390" t="s">
        <v>1272</v>
      </c>
    </row>
    <row r="61" spans="1:8" x14ac:dyDescent="0.3">
      <c r="A61" s="390" t="s">
        <v>1273</v>
      </c>
      <c r="B61" s="390" t="s">
        <v>1208</v>
      </c>
      <c r="C61" s="390" t="s">
        <v>1096</v>
      </c>
      <c r="D61" s="390" t="s">
        <v>1097</v>
      </c>
      <c r="E61" s="390" t="s">
        <v>1131</v>
      </c>
      <c r="F61" s="389" t="str">
        <f t="shared" si="0"/>
        <v>215</v>
      </c>
      <c r="G61" s="389">
        <f t="shared" si="1"/>
        <v>215</v>
      </c>
      <c r="H61" s="390" t="s">
        <v>1274</v>
      </c>
    </row>
    <row r="62" spans="1:8" x14ac:dyDescent="0.3">
      <c r="A62" s="390" t="s">
        <v>1275</v>
      </c>
      <c r="B62" s="390" t="s">
        <v>1276</v>
      </c>
      <c r="C62" s="390" t="s">
        <v>1107</v>
      </c>
      <c r="D62" s="390" t="s">
        <v>1108</v>
      </c>
      <c r="E62" s="390" t="s">
        <v>1277</v>
      </c>
      <c r="F62" s="389" t="str">
        <f t="shared" si="0"/>
        <v>290</v>
      </c>
      <c r="G62" s="389">
        <f t="shared" si="1"/>
        <v>290</v>
      </c>
      <c r="H62" s="390" t="s">
        <v>1278</v>
      </c>
    </row>
    <row r="63" spans="1:8" x14ac:dyDescent="0.3">
      <c r="A63" s="390" t="s">
        <v>1279</v>
      </c>
      <c r="B63" s="390" t="s">
        <v>1201</v>
      </c>
      <c r="C63" s="390" t="s">
        <v>1101</v>
      </c>
      <c r="D63" s="390" t="s">
        <v>1102</v>
      </c>
      <c r="E63" s="390" t="s">
        <v>1280</v>
      </c>
      <c r="F63" s="389" t="str">
        <f t="shared" si="0"/>
        <v>189</v>
      </c>
      <c r="G63" s="389">
        <f t="shared" si="1"/>
        <v>189</v>
      </c>
      <c r="H63" s="390" t="s">
        <v>1281</v>
      </c>
    </row>
    <row r="64" spans="1:8" x14ac:dyDescent="0.3">
      <c r="A64" s="390" t="s">
        <v>1282</v>
      </c>
      <c r="B64" s="390" t="s">
        <v>275</v>
      </c>
      <c r="C64" s="390" t="s">
        <v>1107</v>
      </c>
      <c r="D64" s="390" t="s">
        <v>1152</v>
      </c>
      <c r="E64" s="390" t="s">
        <v>1283</v>
      </c>
      <c r="F64" s="389" t="str">
        <f t="shared" si="0"/>
        <v>274</v>
      </c>
      <c r="G64" s="389">
        <f t="shared" si="1"/>
        <v>274</v>
      </c>
      <c r="H64" s="390" t="s">
        <v>1284</v>
      </c>
    </row>
    <row r="65" spans="1:8" x14ac:dyDescent="0.3">
      <c r="A65" s="390" t="s">
        <v>1285</v>
      </c>
      <c r="B65" s="390" t="s">
        <v>1089</v>
      </c>
      <c r="C65" s="390" t="s">
        <v>1107</v>
      </c>
      <c r="D65" s="390" t="s">
        <v>1152</v>
      </c>
      <c r="E65" s="390" t="s">
        <v>1286</v>
      </c>
      <c r="F65" s="389" t="str">
        <f t="shared" si="0"/>
        <v>277</v>
      </c>
      <c r="G65" s="389">
        <f t="shared" si="1"/>
        <v>277</v>
      </c>
      <c r="H65" s="390" t="s">
        <v>1287</v>
      </c>
    </row>
    <row r="66" spans="1:8" x14ac:dyDescent="0.3">
      <c r="A66" s="390" t="s">
        <v>1288</v>
      </c>
      <c r="B66" s="390" t="s">
        <v>1289</v>
      </c>
      <c r="C66" s="390" t="s">
        <v>1107</v>
      </c>
      <c r="D66" s="390" t="s">
        <v>1152</v>
      </c>
      <c r="E66" s="390" t="s">
        <v>1290</v>
      </c>
      <c r="F66" s="389" t="str">
        <f t="shared" si="0"/>
        <v>304</v>
      </c>
      <c r="G66" s="389">
        <f t="shared" si="1"/>
        <v>304</v>
      </c>
      <c r="H66" s="390" t="s">
        <v>1291</v>
      </c>
    </row>
    <row r="67" spans="1:8" x14ac:dyDescent="0.3">
      <c r="A67" s="390" t="s">
        <v>1292</v>
      </c>
      <c r="B67" s="390" t="s">
        <v>15</v>
      </c>
      <c r="C67" s="390" t="s">
        <v>1101</v>
      </c>
      <c r="D67" s="390" t="s">
        <v>1102</v>
      </c>
      <c r="E67" s="390" t="s">
        <v>1293</v>
      </c>
      <c r="F67" s="389" t="str">
        <f t="shared" si="0"/>
        <v>298</v>
      </c>
      <c r="G67" s="389">
        <f t="shared" si="1"/>
        <v>298</v>
      </c>
      <c r="H67" s="390" t="s">
        <v>1294</v>
      </c>
    </row>
    <row r="68" spans="1:8" x14ac:dyDescent="0.3">
      <c r="A68" s="390" t="s">
        <v>1295</v>
      </c>
      <c r="B68" s="390" t="s">
        <v>1267</v>
      </c>
      <c r="C68" s="390" t="s">
        <v>1107</v>
      </c>
      <c r="D68" s="390" t="s">
        <v>1152</v>
      </c>
      <c r="E68" s="390" t="s">
        <v>1296</v>
      </c>
      <c r="F68" s="389" t="str">
        <f t="shared" si="0"/>
        <v>295</v>
      </c>
      <c r="G68" s="389">
        <f t="shared" si="1"/>
        <v>295</v>
      </c>
      <c r="H68" s="390" t="s">
        <v>1297</v>
      </c>
    </row>
    <row r="69" spans="1:8" x14ac:dyDescent="0.3">
      <c r="A69" s="390" t="s">
        <v>1298</v>
      </c>
      <c r="B69" s="390" t="s">
        <v>275</v>
      </c>
      <c r="C69" s="390" t="s">
        <v>1101</v>
      </c>
      <c r="D69" s="390" t="s">
        <v>1102</v>
      </c>
      <c r="E69" s="390" t="s">
        <v>1299</v>
      </c>
      <c r="F69" s="389" t="str">
        <f t="shared" si="0"/>
        <v>212</v>
      </c>
      <c r="G69" s="389">
        <f t="shared" si="1"/>
        <v>212</v>
      </c>
      <c r="H69" s="390" t="s">
        <v>1300</v>
      </c>
    </row>
    <row r="70" spans="1:8" x14ac:dyDescent="0.3">
      <c r="A70" s="390" t="s">
        <v>1301</v>
      </c>
      <c r="B70" s="390" t="s">
        <v>15</v>
      </c>
      <c r="C70" s="390" t="s">
        <v>1090</v>
      </c>
      <c r="D70" s="390" t="s">
        <v>1091</v>
      </c>
      <c r="E70" s="390" t="s">
        <v>1296</v>
      </c>
      <c r="F70" s="389" t="str">
        <f t="shared" ref="F70:F103" si="2">RIGHT(E70,3)</f>
        <v>295</v>
      </c>
      <c r="G70" s="389">
        <f t="shared" ref="G70:G103" si="3">VALUE(F70)</f>
        <v>295</v>
      </c>
      <c r="H70" s="390" t="s">
        <v>1302</v>
      </c>
    </row>
    <row r="71" spans="1:8" x14ac:dyDescent="0.3">
      <c r="A71" s="390" t="s">
        <v>1303</v>
      </c>
      <c r="B71" s="390" t="s">
        <v>1089</v>
      </c>
      <c r="C71" s="390" t="s">
        <v>1096</v>
      </c>
      <c r="D71" s="390" t="s">
        <v>1097</v>
      </c>
      <c r="E71" s="390" t="s">
        <v>1304</v>
      </c>
      <c r="F71" s="389" t="str">
        <f t="shared" si="2"/>
        <v>298</v>
      </c>
      <c r="G71" s="389">
        <f t="shared" si="3"/>
        <v>298</v>
      </c>
      <c r="H71" s="390" t="s">
        <v>1305</v>
      </c>
    </row>
    <row r="72" spans="1:8" x14ac:dyDescent="0.3">
      <c r="A72" s="390" t="s">
        <v>1306</v>
      </c>
      <c r="B72" s="390" t="s">
        <v>275</v>
      </c>
      <c r="C72" s="390" t="s">
        <v>1101</v>
      </c>
      <c r="D72" s="390" t="s">
        <v>1097</v>
      </c>
      <c r="E72" s="390" t="s">
        <v>1307</v>
      </c>
      <c r="F72" s="389" t="str">
        <f t="shared" si="2"/>
        <v>230</v>
      </c>
      <c r="G72" s="389">
        <f t="shared" si="3"/>
        <v>230</v>
      </c>
      <c r="H72" s="390" t="s">
        <v>1308</v>
      </c>
    </row>
    <row r="73" spans="1:8" x14ac:dyDescent="0.3">
      <c r="A73" s="390" t="s">
        <v>1309</v>
      </c>
      <c r="B73" s="390" t="s">
        <v>1310</v>
      </c>
      <c r="C73" s="390" t="s">
        <v>1090</v>
      </c>
      <c r="D73" s="390" t="s">
        <v>1091</v>
      </c>
      <c r="E73" s="390" t="s">
        <v>1311</v>
      </c>
      <c r="F73" s="389" t="str">
        <f t="shared" si="2"/>
        <v>291</v>
      </c>
      <c r="G73" s="389">
        <f t="shared" si="3"/>
        <v>291</v>
      </c>
      <c r="H73" s="390" t="s">
        <v>1312</v>
      </c>
    </row>
    <row r="74" spans="1:8" x14ac:dyDescent="0.3">
      <c r="A74" s="390" t="s">
        <v>1313</v>
      </c>
      <c r="B74" s="390" t="s">
        <v>1089</v>
      </c>
      <c r="C74" s="390" t="s">
        <v>1096</v>
      </c>
      <c r="D74" s="390" t="s">
        <v>1097</v>
      </c>
      <c r="E74" s="390" t="s">
        <v>1314</v>
      </c>
      <c r="F74" s="389" t="str">
        <f t="shared" si="2"/>
        <v>310</v>
      </c>
      <c r="G74" s="389">
        <f t="shared" si="3"/>
        <v>310</v>
      </c>
      <c r="H74" s="390" t="s">
        <v>1315</v>
      </c>
    </row>
    <row r="75" spans="1:8" x14ac:dyDescent="0.3">
      <c r="A75" s="390" t="s">
        <v>1316</v>
      </c>
      <c r="B75" s="390" t="s">
        <v>1289</v>
      </c>
      <c r="C75" s="390" t="s">
        <v>1101</v>
      </c>
      <c r="D75" s="390" t="s">
        <v>1102</v>
      </c>
      <c r="E75" s="390" t="s">
        <v>1317</v>
      </c>
      <c r="F75" s="389" t="str">
        <f t="shared" si="2"/>
        <v>329</v>
      </c>
      <c r="G75" s="389">
        <f t="shared" si="3"/>
        <v>329</v>
      </c>
      <c r="H75" s="390" t="s">
        <v>1318</v>
      </c>
    </row>
    <row r="76" spans="1:8" x14ac:dyDescent="0.3">
      <c r="A76" s="390" t="s">
        <v>1319</v>
      </c>
      <c r="B76" s="390" t="s">
        <v>1289</v>
      </c>
      <c r="C76" s="390" t="s">
        <v>1107</v>
      </c>
      <c r="D76" s="390" t="s">
        <v>1108</v>
      </c>
      <c r="E76" s="390" t="s">
        <v>1320</v>
      </c>
      <c r="F76" s="389" t="str">
        <f t="shared" si="2"/>
        <v>325</v>
      </c>
      <c r="G76" s="389">
        <f t="shared" si="3"/>
        <v>325</v>
      </c>
      <c r="H76" s="390" t="s">
        <v>1321</v>
      </c>
    </row>
    <row r="77" spans="1:8" x14ac:dyDescent="0.3">
      <c r="A77" s="390" t="s">
        <v>1322</v>
      </c>
      <c r="B77" s="390" t="s">
        <v>275</v>
      </c>
      <c r="C77" s="390" t="s">
        <v>1107</v>
      </c>
      <c r="D77" s="390" t="s">
        <v>1152</v>
      </c>
      <c r="E77" s="390" t="s">
        <v>1323</v>
      </c>
      <c r="F77" s="389" t="str">
        <f t="shared" si="2"/>
        <v>276</v>
      </c>
      <c r="G77" s="389">
        <f t="shared" si="3"/>
        <v>276</v>
      </c>
      <c r="H77" s="390" t="s">
        <v>1324</v>
      </c>
    </row>
    <row r="78" spans="1:8" x14ac:dyDescent="0.3">
      <c r="A78" s="390" t="s">
        <v>1325</v>
      </c>
      <c r="B78" s="390" t="s">
        <v>1267</v>
      </c>
      <c r="C78" s="390" t="s">
        <v>1101</v>
      </c>
      <c r="D78" s="390" t="s">
        <v>1102</v>
      </c>
      <c r="E78" s="390" t="s">
        <v>1326</v>
      </c>
      <c r="F78" s="389" t="str">
        <f t="shared" si="2"/>
        <v>310</v>
      </c>
      <c r="G78" s="389">
        <f t="shared" si="3"/>
        <v>310</v>
      </c>
      <c r="H78" s="390" t="s">
        <v>1327</v>
      </c>
    </row>
    <row r="79" spans="1:8" x14ac:dyDescent="0.3">
      <c r="A79" s="390" t="s">
        <v>1328</v>
      </c>
      <c r="B79" s="390" t="s">
        <v>1289</v>
      </c>
      <c r="C79" s="390" t="s">
        <v>1096</v>
      </c>
      <c r="D79" s="390" t="s">
        <v>1102</v>
      </c>
      <c r="E79" s="390" t="s">
        <v>1329</v>
      </c>
      <c r="F79" s="389" t="str">
        <f t="shared" si="2"/>
        <v>305</v>
      </c>
      <c r="G79" s="389">
        <f t="shared" si="3"/>
        <v>305</v>
      </c>
      <c r="H79" s="390" t="s">
        <v>1330</v>
      </c>
    </row>
    <row r="80" spans="1:8" x14ac:dyDescent="0.3">
      <c r="A80" s="390" t="s">
        <v>1331</v>
      </c>
      <c r="B80" s="390" t="s">
        <v>1289</v>
      </c>
      <c r="C80" s="390" t="s">
        <v>1107</v>
      </c>
      <c r="D80" s="390" t="s">
        <v>1152</v>
      </c>
      <c r="E80" s="390" t="s">
        <v>1332</v>
      </c>
      <c r="F80" s="389" t="str">
        <f t="shared" si="2"/>
        <v>305</v>
      </c>
      <c r="G80" s="389">
        <f t="shared" si="3"/>
        <v>305</v>
      </c>
      <c r="H80" s="390" t="s">
        <v>1333</v>
      </c>
    </row>
    <row r="81" spans="1:8" x14ac:dyDescent="0.3">
      <c r="A81" s="390" t="s">
        <v>1334</v>
      </c>
      <c r="B81" s="390" t="s">
        <v>1267</v>
      </c>
      <c r="C81" s="390" t="s">
        <v>1101</v>
      </c>
      <c r="D81" s="390" t="s">
        <v>1102</v>
      </c>
      <c r="E81" s="390" t="s">
        <v>1335</v>
      </c>
      <c r="F81" s="389" t="str">
        <f t="shared" si="2"/>
        <v>328</v>
      </c>
      <c r="G81" s="389">
        <f t="shared" si="3"/>
        <v>328</v>
      </c>
      <c r="H81" s="390" t="s">
        <v>1336</v>
      </c>
    </row>
    <row r="82" spans="1:8" x14ac:dyDescent="0.3">
      <c r="A82" s="390" t="s">
        <v>1337</v>
      </c>
      <c r="B82" s="390" t="s">
        <v>1127</v>
      </c>
      <c r="C82" s="390" t="s">
        <v>1101</v>
      </c>
      <c r="D82" s="390" t="s">
        <v>1102</v>
      </c>
      <c r="E82" s="390" t="s">
        <v>1109</v>
      </c>
      <c r="F82" s="389" t="str">
        <f t="shared" si="2"/>
        <v>197</v>
      </c>
      <c r="G82" s="389">
        <f t="shared" si="3"/>
        <v>197</v>
      </c>
      <c r="H82" s="390" t="s">
        <v>1338</v>
      </c>
    </row>
    <row r="83" spans="1:8" x14ac:dyDescent="0.3">
      <c r="A83" s="390" t="s">
        <v>1339</v>
      </c>
      <c r="B83" s="390" t="s">
        <v>1123</v>
      </c>
      <c r="C83" s="390" t="s">
        <v>1101</v>
      </c>
      <c r="D83" s="390" t="s">
        <v>1102</v>
      </c>
      <c r="E83" s="390" t="s">
        <v>1340</v>
      </c>
      <c r="F83" s="389" t="str">
        <f t="shared" si="2"/>
        <v>234</v>
      </c>
      <c r="G83" s="389">
        <f t="shared" si="3"/>
        <v>234</v>
      </c>
      <c r="H83" s="390" t="s">
        <v>1121</v>
      </c>
    </row>
    <row r="84" spans="1:8" x14ac:dyDescent="0.3">
      <c r="A84" s="390" t="s">
        <v>1341</v>
      </c>
      <c r="B84" s="390" t="s">
        <v>1127</v>
      </c>
      <c r="C84" s="390" t="s">
        <v>1107</v>
      </c>
      <c r="D84" s="390" t="s">
        <v>1152</v>
      </c>
      <c r="E84" s="390" t="s">
        <v>1342</v>
      </c>
      <c r="F84" s="389" t="str">
        <f t="shared" si="2"/>
        <v>202</v>
      </c>
      <c r="G84" s="389">
        <f t="shared" si="3"/>
        <v>202</v>
      </c>
      <c r="H84" s="390" t="s">
        <v>1343</v>
      </c>
    </row>
    <row r="85" spans="1:8" x14ac:dyDescent="0.3">
      <c r="A85" s="390" t="s">
        <v>1344</v>
      </c>
      <c r="B85" s="390" t="s">
        <v>275</v>
      </c>
      <c r="C85" s="390" t="s">
        <v>1096</v>
      </c>
      <c r="D85" s="390" t="s">
        <v>1097</v>
      </c>
      <c r="E85" s="390" t="s">
        <v>1345</v>
      </c>
      <c r="F85" s="389" t="str">
        <f t="shared" si="2"/>
        <v>247</v>
      </c>
      <c r="G85" s="389">
        <f t="shared" si="3"/>
        <v>247</v>
      </c>
      <c r="H85" s="390" t="s">
        <v>1346</v>
      </c>
    </row>
    <row r="86" spans="1:8" x14ac:dyDescent="0.3">
      <c r="A86" s="390" t="s">
        <v>1347</v>
      </c>
      <c r="B86" s="390" t="s">
        <v>1123</v>
      </c>
      <c r="C86" s="390" t="s">
        <v>1090</v>
      </c>
      <c r="D86" s="390" t="s">
        <v>1091</v>
      </c>
      <c r="E86" s="390" t="s">
        <v>1348</v>
      </c>
      <c r="F86" s="389" t="str">
        <f t="shared" si="2"/>
        <v>231</v>
      </c>
      <c r="G86" s="389">
        <f t="shared" si="3"/>
        <v>231</v>
      </c>
      <c r="H86" s="390" t="s">
        <v>1349</v>
      </c>
    </row>
    <row r="87" spans="1:8" x14ac:dyDescent="0.3">
      <c r="A87" s="390" t="s">
        <v>1350</v>
      </c>
      <c r="B87" s="390" t="s">
        <v>1276</v>
      </c>
      <c r="C87" s="390" t="s">
        <v>1090</v>
      </c>
      <c r="D87" s="390" t="s">
        <v>1091</v>
      </c>
      <c r="E87" s="390" t="s">
        <v>1296</v>
      </c>
      <c r="F87" s="389" t="str">
        <f t="shared" si="2"/>
        <v>295</v>
      </c>
      <c r="G87" s="389">
        <f t="shared" si="3"/>
        <v>295</v>
      </c>
      <c r="H87" s="390" t="s">
        <v>1351</v>
      </c>
    </row>
    <row r="88" spans="1:8" x14ac:dyDescent="0.3">
      <c r="A88" s="390" t="s">
        <v>1352</v>
      </c>
      <c r="B88" s="390" t="s">
        <v>1123</v>
      </c>
      <c r="C88" s="390" t="s">
        <v>1107</v>
      </c>
      <c r="D88" s="390" t="s">
        <v>1097</v>
      </c>
      <c r="E88" s="390" t="s">
        <v>1353</v>
      </c>
      <c r="F88" s="389" t="str">
        <f t="shared" si="2"/>
        <v>258</v>
      </c>
      <c r="G88" s="389">
        <f t="shared" si="3"/>
        <v>258</v>
      </c>
      <c r="H88" s="390" t="s">
        <v>1354</v>
      </c>
    </row>
    <row r="89" spans="1:8" x14ac:dyDescent="0.3">
      <c r="A89" s="390" t="s">
        <v>1355</v>
      </c>
      <c r="B89" s="390" t="s">
        <v>275</v>
      </c>
      <c r="C89" s="390" t="s">
        <v>1090</v>
      </c>
      <c r="D89" s="390" t="s">
        <v>1091</v>
      </c>
      <c r="E89" s="390" t="s">
        <v>1356</v>
      </c>
      <c r="F89" s="389" t="str">
        <f t="shared" si="2"/>
        <v>234</v>
      </c>
      <c r="G89" s="389">
        <f t="shared" si="3"/>
        <v>234</v>
      </c>
      <c r="H89" s="390" t="s">
        <v>1357</v>
      </c>
    </row>
    <row r="90" spans="1:8" x14ac:dyDescent="0.3">
      <c r="A90" s="390" t="s">
        <v>1358</v>
      </c>
      <c r="B90" s="390" t="s">
        <v>1123</v>
      </c>
      <c r="C90" s="390" t="s">
        <v>1096</v>
      </c>
      <c r="D90" s="390" t="s">
        <v>1097</v>
      </c>
      <c r="E90" s="390" t="s">
        <v>1359</v>
      </c>
      <c r="F90" s="389" t="str">
        <f t="shared" si="2"/>
        <v>254</v>
      </c>
      <c r="G90" s="389">
        <f t="shared" si="3"/>
        <v>254</v>
      </c>
      <c r="H90" s="390" t="s">
        <v>1360</v>
      </c>
    </row>
    <row r="91" spans="1:8" x14ac:dyDescent="0.3">
      <c r="A91" s="390" t="s">
        <v>1361</v>
      </c>
      <c r="B91" s="390" t="s">
        <v>1123</v>
      </c>
      <c r="C91" s="390" t="s">
        <v>1101</v>
      </c>
      <c r="D91" s="390" t="s">
        <v>1102</v>
      </c>
      <c r="E91" s="390" t="s">
        <v>1362</v>
      </c>
      <c r="F91" s="389" t="str">
        <f t="shared" si="2"/>
        <v>270</v>
      </c>
      <c r="G91" s="389">
        <f t="shared" si="3"/>
        <v>270</v>
      </c>
      <c r="H91" s="390" t="s">
        <v>1363</v>
      </c>
    </row>
    <row r="92" spans="1:8" x14ac:dyDescent="0.3">
      <c r="A92" s="390" t="s">
        <v>1364</v>
      </c>
      <c r="B92" s="390" t="s">
        <v>275</v>
      </c>
      <c r="C92" s="390" t="s">
        <v>1090</v>
      </c>
      <c r="D92" s="390" t="s">
        <v>1091</v>
      </c>
      <c r="E92" s="390" t="s">
        <v>1359</v>
      </c>
      <c r="F92" s="389" t="str">
        <f t="shared" si="2"/>
        <v>254</v>
      </c>
      <c r="G92" s="389">
        <f t="shared" si="3"/>
        <v>254</v>
      </c>
      <c r="H92" s="390" t="s">
        <v>1365</v>
      </c>
    </row>
    <row r="93" spans="1:8" x14ac:dyDescent="0.3">
      <c r="A93" s="390" t="s">
        <v>1366</v>
      </c>
      <c r="B93" s="390" t="s">
        <v>1276</v>
      </c>
      <c r="C93" s="390" t="s">
        <v>1107</v>
      </c>
      <c r="D93" s="390" t="s">
        <v>1108</v>
      </c>
      <c r="E93" s="390" t="s">
        <v>1367</v>
      </c>
      <c r="F93" s="389" t="str">
        <f t="shared" si="2"/>
        <v>316</v>
      </c>
      <c r="G93" s="389">
        <f t="shared" si="3"/>
        <v>316</v>
      </c>
      <c r="H93" s="390" t="s">
        <v>1368</v>
      </c>
    </row>
    <row r="94" spans="1:8" x14ac:dyDescent="0.3">
      <c r="A94" s="390" t="s">
        <v>1369</v>
      </c>
      <c r="B94" s="390" t="s">
        <v>1201</v>
      </c>
      <c r="C94" s="390" t="s">
        <v>1096</v>
      </c>
      <c r="D94" s="390" t="s">
        <v>1097</v>
      </c>
      <c r="E94" s="390" t="s">
        <v>1370</v>
      </c>
      <c r="F94" s="389" t="str">
        <f t="shared" si="2"/>
        <v>211</v>
      </c>
      <c r="G94" s="389">
        <f t="shared" si="3"/>
        <v>211</v>
      </c>
      <c r="H94" s="390" t="s">
        <v>1371</v>
      </c>
    </row>
    <row r="95" spans="1:8" x14ac:dyDescent="0.3">
      <c r="A95" s="390" t="s">
        <v>1372</v>
      </c>
      <c r="B95" s="390" t="s">
        <v>1373</v>
      </c>
      <c r="C95" s="390" t="s">
        <v>1107</v>
      </c>
      <c r="D95" s="390" t="s">
        <v>1374</v>
      </c>
      <c r="E95" s="390" t="s">
        <v>1375</v>
      </c>
      <c r="F95" s="389" t="str">
        <f t="shared" si="2"/>
        <v>288</v>
      </c>
      <c r="G95" s="389">
        <f t="shared" si="3"/>
        <v>288</v>
      </c>
      <c r="H95" s="390" t="s">
        <v>1376</v>
      </c>
    </row>
    <row r="96" spans="1:8" x14ac:dyDescent="0.3">
      <c r="A96" s="390" t="s">
        <v>1377</v>
      </c>
      <c r="B96" s="390" t="s">
        <v>275</v>
      </c>
      <c r="C96" s="390" t="s">
        <v>1096</v>
      </c>
      <c r="D96" s="390" t="s">
        <v>1097</v>
      </c>
      <c r="E96" s="390" t="s">
        <v>1378</v>
      </c>
      <c r="F96" s="389" t="str">
        <f t="shared" si="2"/>
        <v>295</v>
      </c>
      <c r="G96" s="389">
        <f t="shared" si="3"/>
        <v>295</v>
      </c>
      <c r="H96" s="390" t="s">
        <v>1379</v>
      </c>
    </row>
    <row r="97" spans="1:8" x14ac:dyDescent="0.3">
      <c r="A97" s="390" t="s">
        <v>1380</v>
      </c>
      <c r="B97" s="390" t="s">
        <v>1381</v>
      </c>
      <c r="C97" s="390" t="s">
        <v>1101</v>
      </c>
      <c r="D97" s="390" t="s">
        <v>1102</v>
      </c>
      <c r="E97" s="390" t="s">
        <v>1382</v>
      </c>
      <c r="F97" s="389" t="str">
        <f t="shared" si="2"/>
        <v>292</v>
      </c>
      <c r="G97" s="389">
        <f t="shared" si="3"/>
        <v>292</v>
      </c>
      <c r="H97" s="390" t="s">
        <v>1228</v>
      </c>
    </row>
    <row r="98" spans="1:8" x14ac:dyDescent="0.3">
      <c r="A98" s="390" t="s">
        <v>1383</v>
      </c>
      <c r="B98" s="390" t="s">
        <v>1276</v>
      </c>
      <c r="C98" s="390" t="s">
        <v>1107</v>
      </c>
      <c r="D98" s="390" t="s">
        <v>1108</v>
      </c>
      <c r="E98" s="390" t="s">
        <v>1384</v>
      </c>
      <c r="F98" s="389" t="str">
        <f t="shared" si="2"/>
        <v>300</v>
      </c>
      <c r="G98" s="389">
        <f t="shared" si="3"/>
        <v>300</v>
      </c>
      <c r="H98" s="390" t="s">
        <v>1385</v>
      </c>
    </row>
    <row r="99" spans="1:8" x14ac:dyDescent="0.3">
      <c r="A99" s="390" t="s">
        <v>1386</v>
      </c>
      <c r="B99" s="390" t="s">
        <v>1387</v>
      </c>
      <c r="C99" s="390" t="s">
        <v>1096</v>
      </c>
      <c r="D99" s="390" t="s">
        <v>1097</v>
      </c>
      <c r="E99" s="390" t="s">
        <v>1388</v>
      </c>
      <c r="F99" s="389" t="str">
        <f t="shared" si="2"/>
        <v>211</v>
      </c>
      <c r="G99" s="389">
        <f t="shared" si="3"/>
        <v>211</v>
      </c>
      <c r="H99" s="390" t="s">
        <v>1154</v>
      </c>
    </row>
    <row r="100" spans="1:8" x14ac:dyDescent="0.3">
      <c r="A100" s="390" t="s">
        <v>1389</v>
      </c>
      <c r="B100" s="390" t="s">
        <v>1381</v>
      </c>
      <c r="C100" s="390" t="s">
        <v>1107</v>
      </c>
      <c r="D100" s="390" t="s">
        <v>1152</v>
      </c>
      <c r="E100" s="390" t="s">
        <v>1390</v>
      </c>
      <c r="F100" s="389" t="str">
        <f t="shared" si="2"/>
        <v>284</v>
      </c>
      <c r="G100" s="389">
        <f t="shared" si="3"/>
        <v>284</v>
      </c>
      <c r="H100" s="390" t="s">
        <v>1391</v>
      </c>
    </row>
    <row r="101" spans="1:8" x14ac:dyDescent="0.3">
      <c r="A101" s="390" t="s">
        <v>1392</v>
      </c>
      <c r="B101" s="390" t="s">
        <v>1141</v>
      </c>
      <c r="C101" s="390" t="s">
        <v>1107</v>
      </c>
      <c r="D101" s="390" t="s">
        <v>1152</v>
      </c>
      <c r="E101" s="390" t="s">
        <v>1393</v>
      </c>
      <c r="F101" s="389" t="str">
        <f t="shared" si="2"/>
        <v>178</v>
      </c>
      <c r="G101" s="389">
        <f t="shared" si="3"/>
        <v>178</v>
      </c>
      <c r="H101" s="390" t="s">
        <v>1394</v>
      </c>
    </row>
    <row r="102" spans="1:8" x14ac:dyDescent="0.3">
      <c r="A102" s="390" t="s">
        <v>1395</v>
      </c>
      <c r="B102" s="390" t="s">
        <v>1276</v>
      </c>
      <c r="C102" s="390" t="s">
        <v>1107</v>
      </c>
      <c r="D102" s="390" t="s">
        <v>1152</v>
      </c>
      <c r="E102" s="390" t="s">
        <v>1396</v>
      </c>
      <c r="F102" s="389" t="str">
        <f t="shared" si="2"/>
        <v>310</v>
      </c>
      <c r="G102" s="389">
        <f t="shared" si="3"/>
        <v>310</v>
      </c>
      <c r="H102" s="390" t="s">
        <v>1397</v>
      </c>
    </row>
    <row r="103" spans="1:8" x14ac:dyDescent="0.3">
      <c r="A103" s="390" t="s">
        <v>1398</v>
      </c>
      <c r="B103" s="390" t="s">
        <v>1381</v>
      </c>
      <c r="C103" s="390" t="s">
        <v>1090</v>
      </c>
      <c r="D103" s="390" t="s">
        <v>1091</v>
      </c>
      <c r="E103" s="390" t="s">
        <v>1399</v>
      </c>
      <c r="F103" s="389" t="str">
        <f t="shared" si="2"/>
        <v>326</v>
      </c>
      <c r="G103" s="389">
        <f t="shared" si="3"/>
        <v>326</v>
      </c>
      <c r="H103" s="390" t="s">
        <v>1400</v>
      </c>
    </row>
    <row r="105" spans="1:8" x14ac:dyDescent="0.3">
      <c r="A105" s="395" t="s">
        <v>1402</v>
      </c>
    </row>
  </sheetData>
  <hyperlinks>
    <hyperlink ref="A105"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zoomScale="120" zoomScaleNormal="120" workbookViewId="0">
      <selection activeCell="D10" sqref="D10"/>
    </sheetView>
  </sheetViews>
  <sheetFormatPr defaultColWidth="9.109375" defaultRowHeight="15.6" x14ac:dyDescent="0.3"/>
  <cols>
    <col min="1" max="1" width="4.6640625" style="142" customWidth="1"/>
    <col min="2" max="3" width="9.109375" style="142"/>
    <col min="4" max="4" width="63.109375" style="142" customWidth="1"/>
    <col min="5" max="16384" width="9.109375" style="142"/>
  </cols>
  <sheetData>
    <row r="1" spans="1:5" ht="23.4" x14ac:dyDescent="0.45">
      <c r="A1" s="33" t="s">
        <v>1405</v>
      </c>
      <c r="E1" s="634" t="s">
        <v>3016</v>
      </c>
    </row>
    <row r="3" spans="1:5" s="176" customFormat="1" x14ac:dyDescent="0.3">
      <c r="B3" s="176">
        <v>2355.66</v>
      </c>
      <c r="D3" s="176" t="s">
        <v>1406</v>
      </c>
    </row>
    <row r="4" spans="1:5" s="176" customFormat="1" x14ac:dyDescent="0.3">
      <c r="B4" s="176">
        <v>342343.34</v>
      </c>
      <c r="D4" s="176" t="s">
        <v>1407</v>
      </c>
    </row>
    <row r="5" spans="1:5" s="176" customFormat="1" x14ac:dyDescent="0.3">
      <c r="B5" s="176">
        <v>245.77</v>
      </c>
      <c r="D5" s="176" t="s">
        <v>1408</v>
      </c>
    </row>
    <row r="6" spans="1:5" s="176" customFormat="1" x14ac:dyDescent="0.3">
      <c r="B6" s="176">
        <v>5656.76</v>
      </c>
      <c r="D6" s="176" t="s">
        <v>1409</v>
      </c>
    </row>
    <row r="7" spans="1:5" s="176" customFormat="1" x14ac:dyDescent="0.3">
      <c r="B7" s="176">
        <v>465.64</v>
      </c>
      <c r="D7" s="176" t="s">
        <v>1410</v>
      </c>
    </row>
    <row r="10" spans="1:5" x14ac:dyDescent="0.3">
      <c r="D10" s="149" t="str">
        <f>D3&amp;TEXT(B3,"$#,###.##")</f>
        <v>Susan's commission for the month of March was $2,355.66</v>
      </c>
    </row>
    <row r="11" spans="1:5" x14ac:dyDescent="0.3">
      <c r="D11" s="149" t="str">
        <f>D4&amp;TEXT(B4,"$#,###.##")</f>
        <v>Mark's commission for the month of March was $342,343.34</v>
      </c>
    </row>
    <row r="12" spans="1:5" x14ac:dyDescent="0.3">
      <c r="D12" s="149" t="str">
        <f>D5&amp;TEXT(B5,"$#,###.##")</f>
        <v>Sam's commission for the month of March was $245.77</v>
      </c>
    </row>
    <row r="13" spans="1:5" x14ac:dyDescent="0.3">
      <c r="D13" s="149" t="str">
        <f>D6&amp;TEXT(B6,"$#,###.##")</f>
        <v>Fred's commission for the month of March was $5,656.76</v>
      </c>
    </row>
    <row r="14" spans="1:5" x14ac:dyDescent="0.3">
      <c r="D14" s="149" t="str">
        <f>D7&amp;TEXT(B7,"$#,###.##")</f>
        <v>Steve's commission for the month of March was $465.64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workbookViewId="0">
      <selection activeCell="E16" sqref="E16"/>
    </sheetView>
  </sheetViews>
  <sheetFormatPr defaultColWidth="9.109375" defaultRowHeight="15.6" x14ac:dyDescent="0.3"/>
  <cols>
    <col min="1" max="1" width="9.109375" style="142"/>
    <col min="2" max="5" width="13.88671875" style="142" customWidth="1"/>
    <col min="6" max="7" width="9.109375" style="142"/>
    <col min="8" max="8" width="25.109375" style="142" customWidth="1"/>
    <col min="9" max="9" width="12.6640625" style="142" bestFit="1" customWidth="1"/>
    <col min="10" max="16384" width="9.109375" style="142"/>
  </cols>
  <sheetData>
    <row r="1" spans="1:13" ht="23.4" x14ac:dyDescent="0.45">
      <c r="A1" s="33" t="s">
        <v>1430</v>
      </c>
      <c r="M1" s="634" t="s">
        <v>3016</v>
      </c>
    </row>
    <row r="2" spans="1:13" ht="23.4" x14ac:dyDescent="0.45">
      <c r="A2" s="33"/>
    </row>
    <row r="3" spans="1:13" x14ac:dyDescent="0.3">
      <c r="C3" s="176"/>
      <c r="H3" s="176" t="s">
        <v>645</v>
      </c>
      <c r="I3" s="150">
        <v>286000</v>
      </c>
    </row>
    <row r="4" spans="1:13" x14ac:dyDescent="0.3">
      <c r="H4" s="176"/>
      <c r="I4" s="150"/>
    </row>
    <row r="5" spans="1:13" x14ac:dyDescent="0.3">
      <c r="H5" s="176" t="s">
        <v>1420</v>
      </c>
      <c r="I5" s="150">
        <v>45000</v>
      </c>
    </row>
    <row r="6" spans="1:13" x14ac:dyDescent="0.3">
      <c r="B6" s="308" t="s">
        <v>1411</v>
      </c>
      <c r="C6" s="308" t="s">
        <v>1412</v>
      </c>
      <c r="D6" s="308" t="s">
        <v>612</v>
      </c>
      <c r="E6" s="308" t="s">
        <v>1413</v>
      </c>
      <c r="H6" s="176" t="s">
        <v>1421</v>
      </c>
      <c r="I6" s="150">
        <v>33000</v>
      </c>
    </row>
    <row r="7" spans="1:13" x14ac:dyDescent="0.3">
      <c r="B7" s="415">
        <v>0</v>
      </c>
      <c r="C7" s="415">
        <v>12750</v>
      </c>
      <c r="D7" s="415">
        <v>0</v>
      </c>
      <c r="E7" s="416">
        <v>0.06</v>
      </c>
      <c r="H7" s="176" t="s">
        <v>1422</v>
      </c>
      <c r="I7" s="150">
        <v>14500</v>
      </c>
    </row>
    <row r="8" spans="1:13" x14ac:dyDescent="0.3">
      <c r="B8" s="415">
        <v>12750</v>
      </c>
      <c r="C8" s="415">
        <v>60000</v>
      </c>
      <c r="D8" s="415">
        <v>765</v>
      </c>
      <c r="E8" s="416">
        <v>7.0000000000000007E-2</v>
      </c>
      <c r="H8" s="176" t="s">
        <v>1423</v>
      </c>
      <c r="I8" s="150">
        <v>23500</v>
      </c>
    </row>
    <row r="9" spans="1:13" x14ac:dyDescent="0.3">
      <c r="B9" s="415">
        <v>60000</v>
      </c>
      <c r="C9" s="415">
        <v>120000</v>
      </c>
      <c r="D9" s="415">
        <v>4072.5</v>
      </c>
      <c r="E9" s="416">
        <v>7.7499999999999999E-2</v>
      </c>
      <c r="H9" s="176" t="s">
        <v>1424</v>
      </c>
      <c r="I9" s="150">
        <v>30000</v>
      </c>
    </row>
    <row r="10" spans="1:13" x14ac:dyDescent="0.3">
      <c r="B10" s="415">
        <v>120000</v>
      </c>
      <c r="C10" s="417" t="s">
        <v>1414</v>
      </c>
      <c r="D10" s="415">
        <v>8722.5</v>
      </c>
      <c r="E10" s="416">
        <v>8.2500000000000004E-2</v>
      </c>
      <c r="H10" s="176" t="s">
        <v>1425</v>
      </c>
      <c r="I10" s="150">
        <v>17000</v>
      </c>
    </row>
    <row r="11" spans="1:13" x14ac:dyDescent="0.3">
      <c r="B11" s="3"/>
      <c r="C11" s="3"/>
      <c r="D11" s="418"/>
      <c r="E11" s="419"/>
      <c r="H11" s="176" t="s">
        <v>1426</v>
      </c>
      <c r="I11" s="150">
        <v>32000</v>
      </c>
    </row>
    <row r="12" spans="1:13" x14ac:dyDescent="0.3">
      <c r="B12" s="3"/>
      <c r="C12" s="3"/>
      <c r="D12" s="3"/>
      <c r="E12" s="419"/>
      <c r="H12" s="176"/>
      <c r="I12" s="150"/>
    </row>
    <row r="13" spans="1:13" x14ac:dyDescent="0.3">
      <c r="B13" s="188" t="s">
        <v>1415</v>
      </c>
      <c r="C13" s="188"/>
      <c r="D13" s="188"/>
      <c r="E13" s="191">
        <f>I15</f>
        <v>91000</v>
      </c>
      <c r="H13" s="176" t="s">
        <v>1427</v>
      </c>
      <c r="I13" s="420">
        <f>SUM(I5:I11)</f>
        <v>195000</v>
      </c>
    </row>
    <row r="14" spans="1:13" x14ac:dyDescent="0.3">
      <c r="B14" s="188" t="s">
        <v>1416</v>
      </c>
      <c r="C14" s="188"/>
      <c r="D14" s="188"/>
      <c r="E14" s="191">
        <f>VLOOKUP(E13,$B$6:$E$10,1)</f>
        <v>60000</v>
      </c>
      <c r="H14" s="176"/>
      <c r="I14" s="150"/>
    </row>
    <row r="15" spans="1:13" x14ac:dyDescent="0.3">
      <c r="B15" s="188" t="s">
        <v>1417</v>
      </c>
      <c r="C15" s="3"/>
      <c r="D15" s="3"/>
      <c r="E15" s="191">
        <f>VLOOKUP(E14,$B$6:$E$10,3)</f>
        <v>4072.5</v>
      </c>
      <c r="H15" s="176" t="s">
        <v>607</v>
      </c>
      <c r="I15" s="420">
        <f>I3-I13</f>
        <v>91000</v>
      </c>
    </row>
    <row r="16" spans="1:13" x14ac:dyDescent="0.3">
      <c r="B16" s="188" t="s">
        <v>1418</v>
      </c>
      <c r="C16" s="3"/>
      <c r="D16" s="3"/>
      <c r="E16" s="421">
        <f>VLOOKUP(E15,$B$6:$E$10,4)</f>
        <v>0.06</v>
      </c>
    </row>
    <row r="17" spans="2:9" x14ac:dyDescent="0.3">
      <c r="B17" s="3"/>
      <c r="C17" s="3"/>
      <c r="D17" s="3"/>
      <c r="E17" s="422"/>
      <c r="H17" s="176" t="s">
        <v>612</v>
      </c>
      <c r="I17" s="150">
        <f>E18</f>
        <v>5932.5</v>
      </c>
    </row>
    <row r="18" spans="2:9" ht="16.2" thickBot="1" x14ac:dyDescent="0.35">
      <c r="B18" s="188" t="s">
        <v>1419</v>
      </c>
      <c r="C18" s="3"/>
      <c r="D18" s="3"/>
      <c r="E18" s="423">
        <f>E15+((E13-E14)*E16)</f>
        <v>5932.5</v>
      </c>
      <c r="H18" s="176"/>
      <c r="I18" s="150"/>
    </row>
    <row r="19" spans="2:9" ht="16.8" thickTop="1" thickBot="1" x14ac:dyDescent="0.35">
      <c r="B19" s="3"/>
      <c r="C19" s="3"/>
      <c r="D19" s="3"/>
      <c r="E19" s="419"/>
      <c r="H19" s="176" t="s">
        <v>1428</v>
      </c>
      <c r="I19" s="424">
        <f>I15-I17</f>
        <v>85067.5</v>
      </c>
    </row>
    <row r="20" spans="2:9" ht="16.2" thickTop="1" x14ac:dyDescent="0.3"/>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workbookViewId="0">
      <selection activeCell="E18" sqref="E18"/>
    </sheetView>
  </sheetViews>
  <sheetFormatPr defaultColWidth="9.109375" defaultRowHeight="15.6" x14ac:dyDescent="0.3"/>
  <cols>
    <col min="1" max="1" width="9.109375" style="142"/>
    <col min="2" max="10" width="12.5546875" style="142" customWidth="1"/>
    <col min="11" max="16384" width="9.109375" style="142"/>
  </cols>
  <sheetData>
    <row r="1" spans="1:13" ht="23.4" x14ac:dyDescent="0.45">
      <c r="A1" s="33" t="s">
        <v>1429</v>
      </c>
      <c r="M1" s="634" t="s">
        <v>3016</v>
      </c>
    </row>
    <row r="2" spans="1:13" x14ac:dyDescent="0.3">
      <c r="C2" s="176"/>
    </row>
    <row r="4" spans="1:13" x14ac:dyDescent="0.3">
      <c r="B4" s="179" t="s">
        <v>1547</v>
      </c>
      <c r="M4" s="3"/>
    </row>
    <row r="5" spans="1:13" ht="30.75" customHeight="1" thickBot="1" x14ac:dyDescent="0.35">
      <c r="B5" s="436">
        <v>1</v>
      </c>
      <c r="C5" s="437" t="s">
        <v>1548</v>
      </c>
      <c r="D5" s="438" t="s">
        <v>1549</v>
      </c>
      <c r="E5" s="438" t="s">
        <v>1550</v>
      </c>
      <c r="F5" s="438" t="s">
        <v>1551</v>
      </c>
      <c r="G5" s="438" t="s">
        <v>1552</v>
      </c>
      <c r="H5" s="438" t="s">
        <v>1553</v>
      </c>
      <c r="I5" s="438" t="s">
        <v>1554</v>
      </c>
      <c r="J5" s="438" t="s">
        <v>1555</v>
      </c>
      <c r="L5" s="176"/>
    </row>
    <row r="6" spans="1:13" hidden="1" x14ac:dyDescent="0.3">
      <c r="B6" s="439">
        <v>1</v>
      </c>
      <c r="C6" s="439">
        <v>2</v>
      </c>
      <c r="D6" s="440">
        <v>6</v>
      </c>
      <c r="E6" s="440">
        <v>11</v>
      </c>
      <c r="F6" s="440">
        <v>16</v>
      </c>
      <c r="G6" s="440">
        <v>21</v>
      </c>
      <c r="H6" s="440">
        <v>31</v>
      </c>
      <c r="I6" s="440">
        <v>51</v>
      </c>
      <c r="J6" s="440">
        <v>100</v>
      </c>
    </row>
    <row r="7" spans="1:13" x14ac:dyDescent="0.3">
      <c r="B7" s="441">
        <v>299.95</v>
      </c>
      <c r="C7" s="441">
        <f>B7*0.98</f>
        <v>293.95099999999996</v>
      </c>
      <c r="D7" s="441">
        <f t="shared" ref="D7:J7" si="0">C7*0.98</f>
        <v>288.07197999999994</v>
      </c>
      <c r="E7" s="441">
        <f t="shared" si="0"/>
        <v>282.31054039999992</v>
      </c>
      <c r="F7" s="441">
        <f t="shared" si="0"/>
        <v>276.66432959199994</v>
      </c>
      <c r="G7" s="441">
        <f t="shared" si="0"/>
        <v>271.13104300015993</v>
      </c>
      <c r="H7" s="441">
        <f t="shared" si="0"/>
        <v>265.70842214015676</v>
      </c>
      <c r="I7" s="441">
        <f t="shared" si="0"/>
        <v>260.39425369735363</v>
      </c>
      <c r="J7" s="441">
        <f t="shared" si="0"/>
        <v>255.18636862340657</v>
      </c>
    </row>
    <row r="12" spans="1:13" ht="21" x14ac:dyDescent="0.4">
      <c r="B12" s="721" t="s">
        <v>1556</v>
      </c>
      <c r="C12" s="721"/>
      <c r="D12" s="721"/>
      <c r="E12" s="721"/>
      <c r="F12" s="721"/>
    </row>
    <row r="13" spans="1:13" x14ac:dyDescent="0.3">
      <c r="B13" s="175" t="s">
        <v>1557</v>
      </c>
    </row>
    <row r="14" spans="1:13" x14ac:dyDescent="0.3">
      <c r="B14" s="175" t="s">
        <v>1558</v>
      </c>
    </row>
    <row r="15" spans="1:13" x14ac:dyDescent="0.3">
      <c r="B15" s="175" t="s">
        <v>1559</v>
      </c>
    </row>
    <row r="17" spans="2:6" x14ac:dyDescent="0.3">
      <c r="B17" s="442" t="s">
        <v>1561</v>
      </c>
      <c r="C17" s="443"/>
      <c r="D17" s="444" t="s">
        <v>1562</v>
      </c>
      <c r="E17" s="435" t="s">
        <v>178</v>
      </c>
      <c r="F17" s="435" t="s">
        <v>1029</v>
      </c>
    </row>
    <row r="18" spans="2:6" x14ac:dyDescent="0.3">
      <c r="B18" s="442" t="s">
        <v>1560</v>
      </c>
      <c r="C18" s="443"/>
      <c r="D18" s="444">
        <v>4</v>
      </c>
      <c r="E18" s="445">
        <f>HLOOKUP(D18,B6:J7,2)</f>
        <v>293.95099999999996</v>
      </c>
      <c r="F18" s="445">
        <f>E18*D18</f>
        <v>1175.8039999999999</v>
      </c>
    </row>
    <row r="19" spans="2:6" ht="16.2" thickBot="1" x14ac:dyDescent="0.35"/>
    <row r="20" spans="2:6" ht="16.2" thickBot="1" x14ac:dyDescent="0.35">
      <c r="B20" s="142" t="s">
        <v>701</v>
      </c>
      <c r="F20" s="446">
        <f>F18</f>
        <v>1175.8039999999999</v>
      </c>
    </row>
  </sheetData>
  <mergeCells count="1">
    <mergeCell ref="B12:F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showGridLines="0" workbookViewId="0">
      <selection activeCell="M10" sqref="M10"/>
    </sheetView>
  </sheetViews>
  <sheetFormatPr defaultColWidth="9.109375" defaultRowHeight="15.6" x14ac:dyDescent="0.3"/>
  <cols>
    <col min="1" max="1" width="9.109375" style="428"/>
    <col min="2" max="2" width="9.109375" style="427"/>
    <col min="3" max="3" width="32.88671875" style="428" bestFit="1" customWidth="1"/>
    <col min="4" max="11" width="9.109375" style="427"/>
    <col min="12" max="16384" width="9.109375" style="428"/>
  </cols>
  <sheetData>
    <row r="1" spans="1:12" ht="23.4" x14ac:dyDescent="0.45">
      <c r="A1" s="426" t="s">
        <v>1546</v>
      </c>
      <c r="L1" s="636" t="s">
        <v>3016</v>
      </c>
    </row>
    <row r="3" spans="1:12" x14ac:dyDescent="0.3">
      <c r="A3" s="429"/>
      <c r="B3" s="430" t="s">
        <v>1432</v>
      </c>
      <c r="C3" s="431" t="s">
        <v>1516</v>
      </c>
      <c r="E3" s="432">
        <f>HLOOKUP(C4,C6:K7,2)</f>
        <v>7</v>
      </c>
    </row>
    <row r="4" spans="1:12" x14ac:dyDescent="0.3">
      <c r="B4" s="430" t="s">
        <v>1545</v>
      </c>
      <c r="C4" s="433" t="s">
        <v>1438</v>
      </c>
    </row>
    <row r="6" spans="1:12" ht="16.2" thickBot="1" x14ac:dyDescent="0.35">
      <c r="C6" s="239" t="s">
        <v>1432</v>
      </c>
      <c r="D6" s="434" t="s">
        <v>1433</v>
      </c>
      <c r="E6" s="434" t="s">
        <v>1434</v>
      </c>
      <c r="F6" s="434" t="s">
        <v>1435</v>
      </c>
      <c r="G6" s="434" t="s">
        <v>1436</v>
      </c>
      <c r="H6" s="434" t="s">
        <v>1437</v>
      </c>
      <c r="I6" s="434" t="s">
        <v>1438</v>
      </c>
      <c r="J6" s="434" t="s">
        <v>1439</v>
      </c>
      <c r="K6" s="434" t="s">
        <v>1440</v>
      </c>
    </row>
    <row r="7" spans="1:12" x14ac:dyDescent="0.3">
      <c r="C7" s="207" t="str">
        <f>VLOOKUP($C$3,$C$10:$K$110,1)</f>
        <v>Asher Clark, Air Force</v>
      </c>
      <c r="D7" s="435" t="str">
        <f>VLOOKUP($C$3,$C$10:$K$110,2)</f>
        <v>RB</v>
      </c>
      <c r="E7" s="435" t="str">
        <f>VLOOKUP($C$3,$C$10:$K$110,3)</f>
        <v>SO</v>
      </c>
      <c r="F7" s="435">
        <f>VLOOKUP($C$3,$C$10:$K$110,4)</f>
        <v>13</v>
      </c>
      <c r="G7" s="435">
        <f>VLOOKUP($C$3,$C$10:$K$110,5)</f>
        <v>151</v>
      </c>
      <c r="H7" s="435">
        <f>VLOOKUP($C$3,$C$10:$K$110,6)</f>
        <v>865</v>
      </c>
      <c r="I7" s="435">
        <f>VLOOKUP($C$3,$C$10:$K$110,7)</f>
        <v>7</v>
      </c>
      <c r="J7" s="435">
        <f>VLOOKUP($C$3,$C$10:$K$110,8)</f>
        <v>5.73</v>
      </c>
      <c r="K7" s="435">
        <f>VLOOKUP($C$3,$C$10:$K$110,9)</f>
        <v>66.540000000000006</v>
      </c>
    </row>
    <row r="10" spans="1:12" ht="16.2" thickBot="1" x14ac:dyDescent="0.35">
      <c r="B10" s="434" t="s">
        <v>1431</v>
      </c>
      <c r="C10" s="239" t="s">
        <v>1432</v>
      </c>
      <c r="D10" s="434" t="s">
        <v>1433</v>
      </c>
      <c r="E10" s="434" t="s">
        <v>1434</v>
      </c>
      <c r="F10" s="434" t="s">
        <v>1435</v>
      </c>
      <c r="G10" s="434" t="s">
        <v>1436</v>
      </c>
      <c r="H10" s="434" t="s">
        <v>1437</v>
      </c>
      <c r="I10" s="434" t="s">
        <v>1438</v>
      </c>
      <c r="J10" s="434" t="s">
        <v>1439</v>
      </c>
      <c r="K10" s="434" t="s">
        <v>1440</v>
      </c>
    </row>
    <row r="11" spans="1:12" x14ac:dyDescent="0.3">
      <c r="B11" s="427">
        <v>57</v>
      </c>
      <c r="C11" s="428" t="s">
        <v>1501</v>
      </c>
      <c r="D11" s="427" t="s">
        <v>1112</v>
      </c>
      <c r="E11" s="427" t="s">
        <v>1446</v>
      </c>
      <c r="F11" s="427">
        <v>11</v>
      </c>
      <c r="G11" s="427">
        <v>181</v>
      </c>
      <c r="H11" s="427">
        <v>834</v>
      </c>
      <c r="I11" s="427">
        <v>5</v>
      </c>
      <c r="J11" s="427">
        <v>4.6100000000000003</v>
      </c>
      <c r="K11" s="427">
        <v>75.819999999999993</v>
      </c>
    </row>
    <row r="12" spans="1:12" x14ac:dyDescent="0.3">
      <c r="B12" s="427">
        <v>25</v>
      </c>
      <c r="C12" s="428" t="s">
        <v>1469</v>
      </c>
      <c r="D12" s="427" t="s">
        <v>1112</v>
      </c>
      <c r="E12" s="427" t="s">
        <v>1442</v>
      </c>
      <c r="F12" s="427">
        <v>12</v>
      </c>
      <c r="G12" s="427">
        <v>232</v>
      </c>
      <c r="H12" s="427">
        <v>1195</v>
      </c>
      <c r="I12" s="427">
        <v>6</v>
      </c>
      <c r="J12" s="427">
        <v>5.15</v>
      </c>
      <c r="K12" s="427">
        <v>99.58</v>
      </c>
    </row>
    <row r="13" spans="1:12" x14ac:dyDescent="0.3">
      <c r="B13" s="427">
        <v>13</v>
      </c>
      <c r="C13" s="428" t="s">
        <v>1457</v>
      </c>
      <c r="D13" s="427" t="s">
        <v>1112</v>
      </c>
      <c r="E13" s="427" t="s">
        <v>1455</v>
      </c>
      <c r="F13" s="427">
        <v>12</v>
      </c>
      <c r="G13" s="427">
        <v>263</v>
      </c>
      <c r="H13" s="427">
        <v>1392</v>
      </c>
      <c r="I13" s="427">
        <v>11</v>
      </c>
      <c r="J13" s="427">
        <v>5.29</v>
      </c>
      <c r="K13" s="427">
        <v>116</v>
      </c>
    </row>
    <row r="14" spans="1:12" x14ac:dyDescent="0.3">
      <c r="B14" s="427">
        <v>44</v>
      </c>
      <c r="C14" s="428" t="s">
        <v>1488</v>
      </c>
      <c r="D14" s="427" t="s">
        <v>1112</v>
      </c>
      <c r="E14" s="427" t="s">
        <v>1444</v>
      </c>
      <c r="F14" s="427">
        <v>12</v>
      </c>
      <c r="G14" s="427">
        <v>238</v>
      </c>
      <c r="H14" s="427">
        <v>1016</v>
      </c>
      <c r="I14" s="427">
        <v>8</v>
      </c>
      <c r="J14" s="427">
        <v>4.2699999999999996</v>
      </c>
      <c r="K14" s="427">
        <v>84.67</v>
      </c>
    </row>
    <row r="15" spans="1:12" x14ac:dyDescent="0.3">
      <c r="B15" s="427">
        <v>47</v>
      </c>
      <c r="C15" s="428" t="s">
        <v>1491</v>
      </c>
      <c r="D15" s="427" t="s">
        <v>1112</v>
      </c>
      <c r="E15" s="427" t="s">
        <v>1444</v>
      </c>
      <c r="F15" s="427">
        <v>13</v>
      </c>
      <c r="G15" s="427">
        <v>239</v>
      </c>
      <c r="H15" s="427">
        <v>1093</v>
      </c>
      <c r="I15" s="427">
        <v>14</v>
      </c>
      <c r="J15" s="427">
        <v>4.57</v>
      </c>
      <c r="K15" s="427">
        <v>84.08</v>
      </c>
    </row>
    <row r="16" spans="1:12" x14ac:dyDescent="0.3">
      <c r="B16" s="427">
        <v>6</v>
      </c>
      <c r="C16" s="428" t="s">
        <v>1449</v>
      </c>
      <c r="D16" s="427" t="s">
        <v>1112</v>
      </c>
      <c r="E16" s="427" t="s">
        <v>1444</v>
      </c>
      <c r="F16" s="427">
        <v>11</v>
      </c>
      <c r="G16" s="427">
        <v>257</v>
      </c>
      <c r="H16" s="427">
        <v>1391</v>
      </c>
      <c r="I16" s="427">
        <v>12</v>
      </c>
      <c r="J16" s="427">
        <v>5.41</v>
      </c>
      <c r="K16" s="427">
        <v>126.45</v>
      </c>
    </row>
    <row r="17" spans="2:11" x14ac:dyDescent="0.3">
      <c r="B17" s="427">
        <v>72</v>
      </c>
      <c r="C17" s="428" t="s">
        <v>1516</v>
      </c>
      <c r="D17" s="427" t="s">
        <v>1112</v>
      </c>
      <c r="E17" s="427" t="s">
        <v>1455</v>
      </c>
      <c r="F17" s="427">
        <v>13</v>
      </c>
      <c r="G17" s="427">
        <v>151</v>
      </c>
      <c r="H17" s="427">
        <v>865</v>
      </c>
      <c r="I17" s="427">
        <v>7</v>
      </c>
      <c r="J17" s="427">
        <v>5.73</v>
      </c>
      <c r="K17" s="427">
        <v>66.540000000000006</v>
      </c>
    </row>
    <row r="18" spans="2:11" x14ac:dyDescent="0.3">
      <c r="B18" s="427">
        <v>84</v>
      </c>
      <c r="C18" s="428" t="s">
        <v>1528</v>
      </c>
      <c r="D18" s="427" t="s">
        <v>1116</v>
      </c>
      <c r="E18" s="427" t="s">
        <v>1446</v>
      </c>
      <c r="F18" s="427">
        <v>13</v>
      </c>
      <c r="G18" s="427">
        <v>175</v>
      </c>
      <c r="H18" s="427">
        <v>772</v>
      </c>
      <c r="I18" s="427">
        <v>9</v>
      </c>
      <c r="J18" s="427">
        <v>4.41</v>
      </c>
      <c r="K18" s="427">
        <v>59.38</v>
      </c>
    </row>
    <row r="19" spans="2:11" x14ac:dyDescent="0.3">
      <c r="B19" s="427">
        <v>69</v>
      </c>
      <c r="C19" s="428" t="s">
        <v>1513</v>
      </c>
      <c r="D19" s="427" t="s">
        <v>1112</v>
      </c>
      <c r="E19" s="427" t="s">
        <v>1442</v>
      </c>
      <c r="F19" s="427">
        <v>13</v>
      </c>
      <c r="G19" s="427">
        <v>168</v>
      </c>
      <c r="H19" s="427">
        <v>884</v>
      </c>
      <c r="I19" s="427">
        <v>14</v>
      </c>
      <c r="J19" s="427">
        <v>5.26</v>
      </c>
      <c r="K19" s="427">
        <v>68</v>
      </c>
    </row>
    <row r="20" spans="2:11" x14ac:dyDescent="0.3">
      <c r="B20" s="427">
        <v>22</v>
      </c>
      <c r="C20" s="428" t="s">
        <v>1466</v>
      </c>
      <c r="D20" s="427" t="s">
        <v>1112</v>
      </c>
      <c r="E20" s="427" t="s">
        <v>1444</v>
      </c>
      <c r="F20" s="427">
        <v>13</v>
      </c>
      <c r="G20" s="427">
        <v>263</v>
      </c>
      <c r="H20" s="427">
        <v>1362</v>
      </c>
      <c r="I20" s="427">
        <v>10</v>
      </c>
      <c r="J20" s="427">
        <v>5.18</v>
      </c>
      <c r="K20" s="427">
        <v>104.77</v>
      </c>
    </row>
    <row r="21" spans="2:11" x14ac:dyDescent="0.3">
      <c r="B21" s="427">
        <v>15</v>
      </c>
      <c r="C21" s="428" t="s">
        <v>1459</v>
      </c>
      <c r="D21" s="427" t="s">
        <v>1112</v>
      </c>
      <c r="E21" s="427" t="s">
        <v>1446</v>
      </c>
      <c r="F21" s="427">
        <v>12</v>
      </c>
      <c r="G21" s="427">
        <v>236</v>
      </c>
      <c r="H21" s="427">
        <v>1361</v>
      </c>
      <c r="I21" s="427">
        <v>16</v>
      </c>
      <c r="J21" s="427">
        <v>5.77</v>
      </c>
      <c r="K21" s="427">
        <v>113.42</v>
      </c>
    </row>
    <row r="22" spans="2:11" x14ac:dyDescent="0.3">
      <c r="B22" s="427">
        <v>53</v>
      </c>
      <c r="C22" s="428" t="s">
        <v>1497</v>
      </c>
      <c r="D22" s="427" t="s">
        <v>1112</v>
      </c>
      <c r="E22" s="427" t="s">
        <v>1455</v>
      </c>
      <c r="F22" s="427">
        <v>12</v>
      </c>
      <c r="G22" s="427">
        <v>144</v>
      </c>
      <c r="H22" s="427">
        <v>939</v>
      </c>
      <c r="I22" s="427">
        <v>6</v>
      </c>
      <c r="J22" s="427">
        <v>6.52</v>
      </c>
      <c r="K22" s="427">
        <v>78.25</v>
      </c>
    </row>
    <row r="23" spans="2:11" x14ac:dyDescent="0.3">
      <c r="B23" s="427">
        <v>94</v>
      </c>
      <c r="C23" s="428" t="s">
        <v>1538</v>
      </c>
      <c r="D23" s="427" t="s">
        <v>1112</v>
      </c>
      <c r="E23" s="427" t="s">
        <v>1442</v>
      </c>
      <c r="F23" s="427">
        <v>13</v>
      </c>
      <c r="G23" s="427">
        <v>145</v>
      </c>
      <c r="H23" s="427">
        <v>739</v>
      </c>
      <c r="I23" s="427">
        <v>4</v>
      </c>
      <c r="J23" s="427">
        <v>5.0999999999999996</v>
      </c>
      <c r="K23" s="427">
        <v>56.85</v>
      </c>
    </row>
    <row r="24" spans="2:11" x14ac:dyDescent="0.3">
      <c r="B24" s="427">
        <v>98</v>
      </c>
      <c r="C24" s="428" t="s">
        <v>1542</v>
      </c>
      <c r="D24" s="427" t="s">
        <v>1112</v>
      </c>
      <c r="E24" s="427" t="s">
        <v>1442</v>
      </c>
      <c r="F24" s="427">
        <v>10</v>
      </c>
      <c r="G24" s="427">
        <v>154</v>
      </c>
      <c r="H24" s="427">
        <v>558</v>
      </c>
      <c r="I24" s="427">
        <v>4</v>
      </c>
      <c r="J24" s="427">
        <v>3.62</v>
      </c>
      <c r="K24" s="427">
        <v>55.8</v>
      </c>
    </row>
    <row r="25" spans="2:11" x14ac:dyDescent="0.3">
      <c r="B25" s="427">
        <v>27</v>
      </c>
      <c r="C25" s="428" t="s">
        <v>1471</v>
      </c>
      <c r="D25" s="427" t="s">
        <v>1112</v>
      </c>
      <c r="E25" s="427" t="s">
        <v>1444</v>
      </c>
      <c r="F25" s="427">
        <v>12</v>
      </c>
      <c r="G25" s="427">
        <v>214</v>
      </c>
      <c r="H25" s="427">
        <v>1164</v>
      </c>
      <c r="I25" s="427">
        <v>10</v>
      </c>
      <c r="J25" s="427">
        <v>5.44</v>
      </c>
      <c r="K25" s="427">
        <v>97</v>
      </c>
    </row>
    <row r="26" spans="2:11" x14ac:dyDescent="0.3">
      <c r="B26" s="427">
        <v>32</v>
      </c>
      <c r="C26" s="428" t="s">
        <v>1476</v>
      </c>
      <c r="D26" s="427" t="s">
        <v>1112</v>
      </c>
      <c r="E26" s="427" t="s">
        <v>1455</v>
      </c>
      <c r="F26" s="427">
        <v>12</v>
      </c>
      <c r="G26" s="427">
        <v>261</v>
      </c>
      <c r="H26" s="427">
        <v>1109</v>
      </c>
      <c r="I26" s="427">
        <v>14</v>
      </c>
      <c r="J26" s="427">
        <v>4.25</v>
      </c>
      <c r="K26" s="427">
        <v>92.42</v>
      </c>
    </row>
    <row r="27" spans="2:11" x14ac:dyDescent="0.3">
      <c r="B27" s="427">
        <v>41</v>
      </c>
      <c r="C27" s="428" t="s">
        <v>1485</v>
      </c>
      <c r="D27" s="427" t="s">
        <v>1112</v>
      </c>
      <c r="E27" s="427" t="s">
        <v>1444</v>
      </c>
      <c r="F27" s="427">
        <v>14</v>
      </c>
      <c r="G27" s="427">
        <v>216</v>
      </c>
      <c r="H27" s="427">
        <v>1212</v>
      </c>
      <c r="I27" s="427">
        <v>12</v>
      </c>
      <c r="J27" s="427">
        <v>5.61</v>
      </c>
      <c r="K27" s="427">
        <v>86.57</v>
      </c>
    </row>
    <row r="28" spans="2:11" x14ac:dyDescent="0.3">
      <c r="B28" s="427">
        <v>83</v>
      </c>
      <c r="C28" s="428" t="s">
        <v>1527</v>
      </c>
      <c r="D28" s="427" t="s">
        <v>1112</v>
      </c>
      <c r="E28" s="427" t="s">
        <v>1455</v>
      </c>
      <c r="F28" s="427">
        <v>10</v>
      </c>
      <c r="G28" s="427">
        <v>114</v>
      </c>
      <c r="H28" s="427">
        <v>594</v>
      </c>
      <c r="I28" s="427">
        <v>7</v>
      </c>
      <c r="J28" s="427">
        <v>5.21</v>
      </c>
      <c r="K28" s="427">
        <v>59.4</v>
      </c>
    </row>
    <row r="29" spans="2:11" x14ac:dyDescent="0.3">
      <c r="B29" s="427">
        <v>52</v>
      </c>
      <c r="C29" s="428" t="s">
        <v>1496</v>
      </c>
      <c r="D29" s="427" t="s">
        <v>1112</v>
      </c>
      <c r="E29" s="427" t="s">
        <v>1442</v>
      </c>
      <c r="F29" s="427">
        <v>13</v>
      </c>
      <c r="G29" s="427">
        <v>179</v>
      </c>
      <c r="H29" s="427">
        <v>1038</v>
      </c>
      <c r="I29" s="427">
        <v>19</v>
      </c>
      <c r="J29" s="427">
        <v>5.8</v>
      </c>
      <c r="K29" s="427">
        <v>79.849999999999994</v>
      </c>
    </row>
    <row r="30" spans="2:11" x14ac:dyDescent="0.3">
      <c r="B30" s="427">
        <v>92</v>
      </c>
      <c r="C30" s="428" t="s">
        <v>1536</v>
      </c>
      <c r="D30" s="427" t="s">
        <v>1112</v>
      </c>
      <c r="E30" s="427" t="s">
        <v>1444</v>
      </c>
      <c r="F30" s="427">
        <v>13</v>
      </c>
      <c r="G30" s="427">
        <v>182</v>
      </c>
      <c r="H30" s="427">
        <v>749</v>
      </c>
      <c r="I30" s="427">
        <v>7</v>
      </c>
      <c r="J30" s="427">
        <v>4.12</v>
      </c>
      <c r="K30" s="427">
        <v>57.62</v>
      </c>
    </row>
    <row r="31" spans="2:11" x14ac:dyDescent="0.3">
      <c r="B31" s="427">
        <v>31</v>
      </c>
      <c r="C31" s="428" t="s">
        <v>1475</v>
      </c>
      <c r="D31" s="427" t="s">
        <v>1112</v>
      </c>
      <c r="E31" s="427" t="s">
        <v>1446</v>
      </c>
      <c r="F31" s="427">
        <v>12</v>
      </c>
      <c r="G31" s="427">
        <v>226</v>
      </c>
      <c r="H31" s="427">
        <v>1113</v>
      </c>
      <c r="I31" s="427">
        <v>5</v>
      </c>
      <c r="J31" s="427">
        <v>4.92</v>
      </c>
      <c r="K31" s="427">
        <v>92.75</v>
      </c>
    </row>
    <row r="32" spans="2:11" x14ac:dyDescent="0.3">
      <c r="B32" s="427">
        <v>68</v>
      </c>
      <c r="C32" s="428" t="s">
        <v>1512</v>
      </c>
      <c r="D32" s="427" t="s">
        <v>1112</v>
      </c>
      <c r="E32" s="427" t="s">
        <v>1446</v>
      </c>
      <c r="F32" s="427">
        <v>12</v>
      </c>
      <c r="G32" s="427">
        <v>166</v>
      </c>
      <c r="H32" s="427">
        <v>844</v>
      </c>
      <c r="I32" s="427">
        <v>10</v>
      </c>
      <c r="J32" s="427">
        <v>5.08</v>
      </c>
      <c r="K32" s="427">
        <v>70.33</v>
      </c>
    </row>
    <row r="33" spans="2:11" x14ac:dyDescent="0.3">
      <c r="B33" s="427">
        <v>36</v>
      </c>
      <c r="C33" s="428" t="s">
        <v>1480</v>
      </c>
      <c r="D33" s="427" t="s">
        <v>1116</v>
      </c>
      <c r="E33" s="427" t="s">
        <v>1442</v>
      </c>
      <c r="F33" s="427">
        <v>13</v>
      </c>
      <c r="G33" s="427">
        <v>161</v>
      </c>
      <c r="H33" s="427">
        <v>1183</v>
      </c>
      <c r="I33" s="427">
        <v>16</v>
      </c>
      <c r="J33" s="427">
        <v>7.35</v>
      </c>
      <c r="K33" s="427">
        <v>91</v>
      </c>
    </row>
    <row r="34" spans="2:11" x14ac:dyDescent="0.3">
      <c r="B34" s="427">
        <v>7</v>
      </c>
      <c r="C34" s="428" t="s">
        <v>1450</v>
      </c>
      <c r="D34" s="427" t="s">
        <v>1112</v>
      </c>
      <c r="E34" s="427" t="s">
        <v>1444</v>
      </c>
      <c r="F34" s="427">
        <v>10</v>
      </c>
      <c r="G34" s="427">
        <v>198</v>
      </c>
      <c r="H34" s="427">
        <v>1239</v>
      </c>
      <c r="I34" s="427">
        <v>15</v>
      </c>
      <c r="J34" s="427">
        <v>6.26</v>
      </c>
      <c r="K34" s="427">
        <v>123.9</v>
      </c>
    </row>
    <row r="35" spans="2:11" x14ac:dyDescent="0.3">
      <c r="B35" s="427">
        <v>89</v>
      </c>
      <c r="C35" s="428" t="s">
        <v>1533</v>
      </c>
      <c r="D35" s="427" t="s">
        <v>1112</v>
      </c>
      <c r="E35" s="427" t="s">
        <v>1455</v>
      </c>
      <c r="F35" s="427">
        <v>13</v>
      </c>
      <c r="G35" s="427">
        <v>159</v>
      </c>
      <c r="H35" s="427">
        <v>757</v>
      </c>
      <c r="I35" s="427">
        <v>5</v>
      </c>
      <c r="J35" s="427">
        <v>4.76</v>
      </c>
      <c r="K35" s="427">
        <v>58.23</v>
      </c>
    </row>
    <row r="36" spans="2:11" x14ac:dyDescent="0.3">
      <c r="B36" s="427">
        <v>67</v>
      </c>
      <c r="C36" s="428" t="s">
        <v>1511</v>
      </c>
      <c r="D36" s="427" t="s">
        <v>1112</v>
      </c>
      <c r="E36" s="427" t="s">
        <v>1455</v>
      </c>
      <c r="F36" s="427">
        <v>12</v>
      </c>
      <c r="G36" s="427">
        <v>139</v>
      </c>
      <c r="H36" s="427">
        <v>857</v>
      </c>
      <c r="I36" s="427">
        <v>3</v>
      </c>
      <c r="J36" s="427">
        <v>6.17</v>
      </c>
      <c r="K36" s="427">
        <v>71.42</v>
      </c>
    </row>
    <row r="37" spans="2:11" x14ac:dyDescent="0.3">
      <c r="B37" s="427">
        <v>48</v>
      </c>
      <c r="C37" s="428" t="s">
        <v>1492</v>
      </c>
      <c r="D37" s="427" t="s">
        <v>1112</v>
      </c>
      <c r="E37" s="427" t="s">
        <v>1444</v>
      </c>
      <c r="F37" s="427">
        <v>12</v>
      </c>
      <c r="G37" s="427">
        <v>178</v>
      </c>
      <c r="H37" s="427">
        <v>991</v>
      </c>
      <c r="I37" s="427">
        <v>14</v>
      </c>
      <c r="J37" s="427">
        <v>5.57</v>
      </c>
      <c r="K37" s="427">
        <v>82.58</v>
      </c>
    </row>
    <row r="38" spans="2:11" x14ac:dyDescent="0.3">
      <c r="B38" s="427">
        <v>45</v>
      </c>
      <c r="C38" s="428" t="s">
        <v>1489</v>
      </c>
      <c r="D38" s="427" t="s">
        <v>1112</v>
      </c>
      <c r="E38" s="427" t="s">
        <v>1444</v>
      </c>
      <c r="F38" s="427">
        <v>12</v>
      </c>
      <c r="G38" s="427">
        <v>219</v>
      </c>
      <c r="H38" s="427">
        <v>1015</v>
      </c>
      <c r="I38" s="427">
        <v>8</v>
      </c>
      <c r="J38" s="427">
        <v>4.63</v>
      </c>
      <c r="K38" s="427">
        <v>84.58</v>
      </c>
    </row>
    <row r="39" spans="2:11" x14ac:dyDescent="0.3">
      <c r="B39" s="427">
        <v>81</v>
      </c>
      <c r="C39" s="428" t="s">
        <v>1525</v>
      </c>
      <c r="D39" s="427" t="s">
        <v>1112</v>
      </c>
      <c r="E39" s="427" t="s">
        <v>1455</v>
      </c>
      <c r="F39" s="427">
        <v>10</v>
      </c>
      <c r="G39" s="427">
        <v>153</v>
      </c>
      <c r="H39" s="427">
        <v>600</v>
      </c>
      <c r="I39" s="427">
        <v>7</v>
      </c>
      <c r="J39" s="427">
        <v>3.92</v>
      </c>
      <c r="K39" s="427">
        <v>60</v>
      </c>
    </row>
    <row r="40" spans="2:11" x14ac:dyDescent="0.3">
      <c r="B40" s="427">
        <v>28</v>
      </c>
      <c r="C40" s="428" t="s">
        <v>1472</v>
      </c>
      <c r="D40" s="427" t="s">
        <v>1112</v>
      </c>
      <c r="E40" s="427" t="s">
        <v>1444</v>
      </c>
      <c r="F40" s="427">
        <v>12</v>
      </c>
      <c r="G40" s="427">
        <v>211</v>
      </c>
      <c r="H40" s="427">
        <v>1132</v>
      </c>
      <c r="I40" s="427">
        <v>11</v>
      </c>
      <c r="J40" s="427">
        <v>5.36</v>
      </c>
      <c r="K40" s="427">
        <v>94.33</v>
      </c>
    </row>
    <row r="41" spans="2:11" x14ac:dyDescent="0.3">
      <c r="B41" s="427">
        <v>21</v>
      </c>
      <c r="C41" s="428" t="s">
        <v>1465</v>
      </c>
      <c r="D41" s="427" t="s">
        <v>1112</v>
      </c>
      <c r="E41" s="427" t="s">
        <v>1442</v>
      </c>
      <c r="F41" s="427">
        <v>12</v>
      </c>
      <c r="G41" s="427">
        <v>247</v>
      </c>
      <c r="H41" s="427">
        <v>1265</v>
      </c>
      <c r="I41" s="427">
        <v>11</v>
      </c>
      <c r="J41" s="427">
        <v>5.12</v>
      </c>
      <c r="K41" s="427">
        <v>105.42</v>
      </c>
    </row>
    <row r="42" spans="2:11" x14ac:dyDescent="0.3">
      <c r="B42" s="427">
        <v>16</v>
      </c>
      <c r="C42" s="428" t="s">
        <v>1460</v>
      </c>
      <c r="D42" s="427" t="s">
        <v>1112</v>
      </c>
      <c r="E42" s="427" t="s">
        <v>1442</v>
      </c>
      <c r="F42" s="427">
        <v>10</v>
      </c>
      <c r="G42" s="427">
        <v>227</v>
      </c>
      <c r="H42" s="427">
        <v>1131</v>
      </c>
      <c r="I42" s="427">
        <v>11</v>
      </c>
      <c r="J42" s="427">
        <v>4.9800000000000004</v>
      </c>
      <c r="K42" s="427">
        <v>113.1</v>
      </c>
    </row>
    <row r="43" spans="2:11" x14ac:dyDescent="0.3">
      <c r="B43" s="427">
        <v>70</v>
      </c>
      <c r="C43" s="428" t="s">
        <v>1514</v>
      </c>
      <c r="D43" s="427" t="s">
        <v>1112</v>
      </c>
      <c r="E43" s="427" t="s">
        <v>1446</v>
      </c>
      <c r="F43" s="427">
        <v>9</v>
      </c>
      <c r="G43" s="427">
        <v>123</v>
      </c>
      <c r="H43" s="427">
        <v>607</v>
      </c>
      <c r="I43" s="427">
        <v>6</v>
      </c>
      <c r="J43" s="427">
        <v>4.93</v>
      </c>
      <c r="K43" s="427">
        <v>67.44</v>
      </c>
    </row>
    <row r="44" spans="2:11" x14ac:dyDescent="0.3">
      <c r="B44" s="427">
        <v>43</v>
      </c>
      <c r="C44" s="428" t="s">
        <v>1487</v>
      </c>
      <c r="D44" s="427" t="s">
        <v>1112</v>
      </c>
      <c r="E44" s="427" t="s">
        <v>1444</v>
      </c>
      <c r="F44" s="427">
        <v>12</v>
      </c>
      <c r="G44" s="427">
        <v>236</v>
      </c>
      <c r="H44" s="427">
        <v>1021</v>
      </c>
      <c r="I44" s="427">
        <v>11</v>
      </c>
      <c r="J44" s="427">
        <v>4.33</v>
      </c>
      <c r="K44" s="427">
        <v>85.08</v>
      </c>
    </row>
    <row r="45" spans="2:11" x14ac:dyDescent="0.3">
      <c r="B45" s="427">
        <v>87</v>
      </c>
      <c r="C45" s="428" t="s">
        <v>1531</v>
      </c>
      <c r="D45" s="427" t="s">
        <v>1112</v>
      </c>
      <c r="E45" s="427" t="s">
        <v>1442</v>
      </c>
      <c r="F45" s="427">
        <v>12</v>
      </c>
      <c r="G45" s="427">
        <v>171</v>
      </c>
      <c r="H45" s="427">
        <v>705</v>
      </c>
      <c r="I45" s="427">
        <v>8</v>
      </c>
      <c r="J45" s="427">
        <v>4.12</v>
      </c>
      <c r="K45" s="427">
        <v>58.75</v>
      </c>
    </row>
    <row r="46" spans="2:11" x14ac:dyDescent="0.3">
      <c r="B46" s="427">
        <v>59</v>
      </c>
      <c r="C46" s="428" t="s">
        <v>1503</v>
      </c>
      <c r="D46" s="427" t="s">
        <v>1112</v>
      </c>
      <c r="E46" s="427" t="s">
        <v>1444</v>
      </c>
      <c r="F46" s="427">
        <v>13</v>
      </c>
      <c r="G46" s="427">
        <v>170</v>
      </c>
      <c r="H46" s="427">
        <v>980</v>
      </c>
      <c r="I46" s="427">
        <v>18</v>
      </c>
      <c r="J46" s="427">
        <v>5.76</v>
      </c>
      <c r="K46" s="427">
        <v>75.38</v>
      </c>
    </row>
    <row r="47" spans="2:11" x14ac:dyDescent="0.3">
      <c r="B47" s="427">
        <v>58</v>
      </c>
      <c r="C47" s="428" t="s">
        <v>1502</v>
      </c>
      <c r="D47" s="427" t="s">
        <v>1112</v>
      </c>
      <c r="E47" s="427" t="s">
        <v>1442</v>
      </c>
      <c r="F47" s="427">
        <v>12</v>
      </c>
      <c r="G47" s="427">
        <v>195</v>
      </c>
      <c r="H47" s="427">
        <v>907</v>
      </c>
      <c r="I47" s="427">
        <v>6</v>
      </c>
      <c r="J47" s="427">
        <v>4.6500000000000004</v>
      </c>
      <c r="K47" s="427">
        <v>75.58</v>
      </c>
    </row>
    <row r="48" spans="2:11" x14ac:dyDescent="0.3">
      <c r="B48" s="427">
        <v>72</v>
      </c>
      <c r="C48" s="428" t="s">
        <v>1517</v>
      </c>
      <c r="D48" s="427" t="s">
        <v>1112</v>
      </c>
      <c r="E48" s="427" t="s">
        <v>1442</v>
      </c>
      <c r="F48" s="427">
        <v>13</v>
      </c>
      <c r="G48" s="427">
        <v>190</v>
      </c>
      <c r="H48" s="427">
        <v>865</v>
      </c>
      <c r="I48" s="427">
        <v>10</v>
      </c>
      <c r="J48" s="427">
        <v>4.55</v>
      </c>
      <c r="K48" s="427">
        <v>66.540000000000006</v>
      </c>
    </row>
    <row r="49" spans="2:11" x14ac:dyDescent="0.3">
      <c r="B49" s="427">
        <v>38</v>
      </c>
      <c r="C49" s="428" t="s">
        <v>1482</v>
      </c>
      <c r="D49" s="427" t="s">
        <v>1127</v>
      </c>
      <c r="E49" s="427" t="s">
        <v>1444</v>
      </c>
      <c r="F49" s="427">
        <v>13</v>
      </c>
      <c r="G49" s="427">
        <v>181</v>
      </c>
      <c r="H49" s="427">
        <v>1169</v>
      </c>
      <c r="I49" s="427">
        <v>8</v>
      </c>
      <c r="J49" s="427">
        <v>6.46</v>
      </c>
      <c r="K49" s="427">
        <v>89.92</v>
      </c>
    </row>
    <row r="50" spans="2:11" x14ac:dyDescent="0.3">
      <c r="B50" s="427">
        <v>74</v>
      </c>
      <c r="C50" s="428" t="s">
        <v>1518</v>
      </c>
      <c r="D50" s="427" t="s">
        <v>1112</v>
      </c>
      <c r="E50" s="427" t="s">
        <v>1444</v>
      </c>
      <c r="F50" s="427">
        <v>12</v>
      </c>
      <c r="G50" s="427">
        <v>188</v>
      </c>
      <c r="H50" s="427">
        <v>795</v>
      </c>
      <c r="I50" s="427">
        <v>6</v>
      </c>
      <c r="J50" s="427">
        <v>4.2300000000000004</v>
      </c>
      <c r="K50" s="427">
        <v>66.25</v>
      </c>
    </row>
    <row r="51" spans="2:11" x14ac:dyDescent="0.3">
      <c r="B51" s="427">
        <v>3</v>
      </c>
      <c r="C51" s="428" t="s">
        <v>1445</v>
      </c>
      <c r="D51" s="427" t="s">
        <v>1112</v>
      </c>
      <c r="E51" s="427" t="s">
        <v>1446</v>
      </c>
      <c r="F51" s="427">
        <v>13</v>
      </c>
      <c r="G51" s="427">
        <v>325</v>
      </c>
      <c r="H51" s="427">
        <v>1799</v>
      </c>
      <c r="I51" s="427">
        <v>17</v>
      </c>
      <c r="J51" s="427">
        <v>5.54</v>
      </c>
      <c r="K51" s="427">
        <v>138.38</v>
      </c>
    </row>
    <row r="52" spans="2:11" x14ac:dyDescent="0.3">
      <c r="B52" s="427">
        <v>26</v>
      </c>
      <c r="C52" s="428" t="s">
        <v>1470</v>
      </c>
      <c r="D52" s="427" t="s">
        <v>1112</v>
      </c>
      <c r="E52" s="427" t="s">
        <v>1444</v>
      </c>
      <c r="F52" s="427">
        <v>12</v>
      </c>
      <c r="G52" s="427">
        <v>239</v>
      </c>
      <c r="H52" s="427">
        <v>1180</v>
      </c>
      <c r="I52" s="427">
        <v>6</v>
      </c>
      <c r="J52" s="427">
        <v>4.9400000000000004</v>
      </c>
      <c r="K52" s="427">
        <v>98.33</v>
      </c>
    </row>
    <row r="53" spans="2:11" x14ac:dyDescent="0.3">
      <c r="B53" s="427">
        <v>4</v>
      </c>
      <c r="C53" s="428" t="s">
        <v>1447</v>
      </c>
      <c r="D53" s="427" t="s">
        <v>1112</v>
      </c>
      <c r="E53" s="427" t="s">
        <v>1442</v>
      </c>
      <c r="F53" s="427">
        <v>12</v>
      </c>
      <c r="G53" s="427">
        <v>259</v>
      </c>
      <c r="H53" s="427">
        <v>1594</v>
      </c>
      <c r="I53" s="427">
        <v>18</v>
      </c>
      <c r="J53" s="427">
        <v>6.15</v>
      </c>
      <c r="K53" s="427">
        <v>132.83000000000001</v>
      </c>
    </row>
    <row r="54" spans="2:11" x14ac:dyDescent="0.3">
      <c r="B54" s="427">
        <v>93</v>
      </c>
      <c r="C54" s="428" t="s">
        <v>1537</v>
      </c>
      <c r="D54" s="427" t="s">
        <v>1112</v>
      </c>
      <c r="E54" s="427" t="s">
        <v>1442</v>
      </c>
      <c r="F54" s="427">
        <v>11</v>
      </c>
      <c r="G54" s="427">
        <v>175</v>
      </c>
      <c r="H54" s="427">
        <v>633</v>
      </c>
      <c r="I54" s="427">
        <v>7</v>
      </c>
      <c r="J54" s="427">
        <v>3.62</v>
      </c>
      <c r="K54" s="427">
        <v>57.55</v>
      </c>
    </row>
    <row r="55" spans="2:11" x14ac:dyDescent="0.3">
      <c r="B55" s="427">
        <v>40</v>
      </c>
      <c r="C55" s="428" t="s">
        <v>1484</v>
      </c>
      <c r="D55" s="427" t="s">
        <v>1116</v>
      </c>
      <c r="E55" s="427" t="s">
        <v>1442</v>
      </c>
      <c r="F55" s="427">
        <v>13</v>
      </c>
      <c r="G55" s="427">
        <v>224</v>
      </c>
      <c r="H55" s="427">
        <v>1154</v>
      </c>
      <c r="I55" s="427">
        <v>13</v>
      </c>
      <c r="J55" s="427">
        <v>5.15</v>
      </c>
      <c r="K55" s="427">
        <v>88.77</v>
      </c>
    </row>
    <row r="56" spans="2:11" x14ac:dyDescent="0.3">
      <c r="B56" s="427">
        <v>49</v>
      </c>
      <c r="C56" s="428" t="s">
        <v>1493</v>
      </c>
      <c r="D56" s="427" t="s">
        <v>1112</v>
      </c>
      <c r="E56" s="427" t="s">
        <v>1442</v>
      </c>
      <c r="F56" s="427">
        <v>13</v>
      </c>
      <c r="G56" s="427">
        <v>203</v>
      </c>
      <c r="H56" s="427">
        <v>1069</v>
      </c>
      <c r="I56" s="427">
        <v>12</v>
      </c>
      <c r="J56" s="427">
        <v>5.27</v>
      </c>
      <c r="K56" s="427">
        <v>82.23</v>
      </c>
    </row>
    <row r="57" spans="2:11" x14ac:dyDescent="0.3">
      <c r="B57" s="427">
        <v>38</v>
      </c>
      <c r="C57" s="428" t="s">
        <v>1483</v>
      </c>
      <c r="D57" s="427" t="s">
        <v>1112</v>
      </c>
      <c r="E57" s="427" t="s">
        <v>1442</v>
      </c>
      <c r="F57" s="427">
        <v>13</v>
      </c>
      <c r="G57" s="427">
        <v>205</v>
      </c>
      <c r="H57" s="427">
        <v>1169</v>
      </c>
      <c r="I57" s="427">
        <v>6</v>
      </c>
      <c r="J57" s="427">
        <v>5.7</v>
      </c>
      <c r="K57" s="427">
        <v>89.92</v>
      </c>
    </row>
    <row r="58" spans="2:11" x14ac:dyDescent="0.3">
      <c r="B58" s="427">
        <v>29</v>
      </c>
      <c r="C58" s="428" t="s">
        <v>1473</v>
      </c>
      <c r="D58" s="427" t="s">
        <v>1112</v>
      </c>
      <c r="E58" s="427" t="s">
        <v>1442</v>
      </c>
      <c r="F58" s="427">
        <v>12</v>
      </c>
      <c r="G58" s="427">
        <v>219</v>
      </c>
      <c r="H58" s="427">
        <v>1126</v>
      </c>
      <c r="I58" s="427">
        <v>13</v>
      </c>
      <c r="J58" s="427">
        <v>5.14</v>
      </c>
      <c r="K58" s="427">
        <v>93.83</v>
      </c>
    </row>
    <row r="59" spans="2:11" x14ac:dyDescent="0.3">
      <c r="B59" s="427">
        <v>91</v>
      </c>
      <c r="C59" s="428" t="s">
        <v>1535</v>
      </c>
      <c r="D59" s="427" t="s">
        <v>1112</v>
      </c>
      <c r="E59" s="427" t="s">
        <v>1442</v>
      </c>
      <c r="F59" s="427">
        <v>12</v>
      </c>
      <c r="G59" s="427">
        <v>134</v>
      </c>
      <c r="H59" s="427">
        <v>695</v>
      </c>
      <c r="I59" s="427">
        <v>4</v>
      </c>
      <c r="J59" s="427">
        <v>5.19</v>
      </c>
      <c r="K59" s="427">
        <v>57.92</v>
      </c>
    </row>
    <row r="60" spans="2:11" x14ac:dyDescent="0.3">
      <c r="B60" s="427">
        <v>37</v>
      </c>
      <c r="C60" s="428" t="s">
        <v>1481</v>
      </c>
      <c r="D60" s="427" t="s">
        <v>1112</v>
      </c>
      <c r="E60" s="427" t="s">
        <v>1442</v>
      </c>
      <c r="F60" s="427">
        <v>12</v>
      </c>
      <c r="G60" s="427">
        <v>208</v>
      </c>
      <c r="H60" s="427">
        <v>1087</v>
      </c>
      <c r="I60" s="427">
        <v>11</v>
      </c>
      <c r="J60" s="427">
        <v>5.23</v>
      </c>
      <c r="K60" s="427">
        <v>90.58</v>
      </c>
    </row>
    <row r="61" spans="2:11" x14ac:dyDescent="0.3">
      <c r="B61" s="427">
        <v>79</v>
      </c>
      <c r="C61" s="428" t="s">
        <v>1523</v>
      </c>
      <c r="D61" s="427" t="s">
        <v>1112</v>
      </c>
      <c r="E61" s="427" t="s">
        <v>1455</v>
      </c>
      <c r="F61" s="427">
        <v>13</v>
      </c>
      <c r="G61" s="427">
        <v>121</v>
      </c>
      <c r="H61" s="427">
        <v>806</v>
      </c>
      <c r="I61" s="427">
        <v>9</v>
      </c>
      <c r="J61" s="427">
        <v>6.66</v>
      </c>
      <c r="K61" s="427">
        <v>62</v>
      </c>
    </row>
    <row r="62" spans="2:11" x14ac:dyDescent="0.3">
      <c r="B62" s="427">
        <v>19</v>
      </c>
      <c r="C62" s="428" t="s">
        <v>1463</v>
      </c>
      <c r="D62" s="427" t="s">
        <v>1112</v>
      </c>
      <c r="E62" s="427" t="s">
        <v>1455</v>
      </c>
      <c r="F62" s="427">
        <v>13</v>
      </c>
      <c r="G62" s="427">
        <v>273</v>
      </c>
      <c r="H62" s="427">
        <v>1440</v>
      </c>
      <c r="I62" s="427">
        <v>21</v>
      </c>
      <c r="J62" s="427">
        <v>5.27</v>
      </c>
      <c r="K62" s="427">
        <v>110.77</v>
      </c>
    </row>
    <row r="63" spans="2:11" x14ac:dyDescent="0.3">
      <c r="B63" s="427">
        <v>61</v>
      </c>
      <c r="C63" s="428" t="s">
        <v>1505</v>
      </c>
      <c r="D63" s="427" t="s">
        <v>1112</v>
      </c>
      <c r="E63" s="427" t="s">
        <v>1442</v>
      </c>
      <c r="F63" s="427">
        <v>13</v>
      </c>
      <c r="G63" s="427">
        <v>238</v>
      </c>
      <c r="H63" s="427">
        <v>970</v>
      </c>
      <c r="I63" s="427">
        <v>9</v>
      </c>
      <c r="J63" s="427">
        <v>4.08</v>
      </c>
      <c r="K63" s="427">
        <v>74.62</v>
      </c>
    </row>
    <row r="64" spans="2:11" x14ac:dyDescent="0.3">
      <c r="B64" s="427">
        <v>99</v>
      </c>
      <c r="C64" s="428" t="s">
        <v>1543</v>
      </c>
      <c r="D64" s="427" t="s">
        <v>1116</v>
      </c>
      <c r="E64" s="427" t="s">
        <v>1442</v>
      </c>
      <c r="F64" s="427">
        <v>12</v>
      </c>
      <c r="G64" s="427">
        <v>121</v>
      </c>
      <c r="H64" s="427">
        <v>668</v>
      </c>
      <c r="I64" s="427">
        <v>13</v>
      </c>
      <c r="J64" s="427">
        <v>5.52</v>
      </c>
      <c r="K64" s="427">
        <v>55.67</v>
      </c>
    </row>
    <row r="65" spans="2:11" x14ac:dyDescent="0.3">
      <c r="B65" s="427">
        <v>50</v>
      </c>
      <c r="C65" s="428" t="s">
        <v>1494</v>
      </c>
      <c r="D65" s="427" t="s">
        <v>1112</v>
      </c>
      <c r="E65" s="427" t="s">
        <v>1442</v>
      </c>
      <c r="F65" s="427">
        <v>14</v>
      </c>
      <c r="G65" s="427">
        <v>209</v>
      </c>
      <c r="H65" s="427">
        <v>1150</v>
      </c>
      <c r="I65" s="427">
        <v>6</v>
      </c>
      <c r="J65" s="427">
        <v>5.5</v>
      </c>
      <c r="K65" s="427">
        <v>82.14</v>
      </c>
    </row>
    <row r="66" spans="2:11" x14ac:dyDescent="0.3">
      <c r="B66" s="427">
        <v>78</v>
      </c>
      <c r="C66" s="428" t="s">
        <v>1522</v>
      </c>
      <c r="D66" s="427" t="s">
        <v>1112</v>
      </c>
      <c r="E66" s="427" t="s">
        <v>1455</v>
      </c>
      <c r="F66" s="427">
        <v>13</v>
      </c>
      <c r="G66" s="427">
        <v>163</v>
      </c>
      <c r="H66" s="427">
        <v>832</v>
      </c>
      <c r="I66" s="427">
        <v>9</v>
      </c>
      <c r="J66" s="427">
        <v>5.0999999999999996</v>
      </c>
      <c r="K66" s="427">
        <v>64</v>
      </c>
    </row>
    <row r="67" spans="2:11" x14ac:dyDescent="0.3">
      <c r="B67" s="427">
        <v>62</v>
      </c>
      <c r="C67" s="428" t="s">
        <v>1506</v>
      </c>
      <c r="D67" s="427" t="s">
        <v>1112</v>
      </c>
      <c r="E67" s="427" t="s">
        <v>1455</v>
      </c>
      <c r="F67" s="427">
        <v>13</v>
      </c>
      <c r="G67" s="427">
        <v>206</v>
      </c>
      <c r="H67" s="427">
        <v>967</v>
      </c>
      <c r="I67" s="427">
        <v>9</v>
      </c>
      <c r="J67" s="427">
        <v>4.6900000000000004</v>
      </c>
      <c r="K67" s="427">
        <v>74.38</v>
      </c>
    </row>
    <row r="68" spans="2:11" x14ac:dyDescent="0.3">
      <c r="B68" s="427">
        <v>46</v>
      </c>
      <c r="C68" s="428" t="s">
        <v>1490</v>
      </c>
      <c r="D68" s="427" t="s">
        <v>1112</v>
      </c>
      <c r="E68" s="427" t="s">
        <v>1442</v>
      </c>
      <c r="F68" s="427">
        <v>12</v>
      </c>
      <c r="G68" s="427">
        <v>164</v>
      </c>
      <c r="H68" s="427">
        <v>1014</v>
      </c>
      <c r="I68" s="427">
        <v>8</v>
      </c>
      <c r="J68" s="427">
        <v>6.18</v>
      </c>
      <c r="K68" s="427">
        <v>84.5</v>
      </c>
    </row>
    <row r="69" spans="2:11" x14ac:dyDescent="0.3">
      <c r="B69" s="427">
        <v>10</v>
      </c>
      <c r="C69" s="428" t="s">
        <v>1453</v>
      </c>
      <c r="D69" s="427" t="s">
        <v>1116</v>
      </c>
      <c r="E69" s="427" t="s">
        <v>1444</v>
      </c>
      <c r="F69" s="427">
        <v>12</v>
      </c>
      <c r="G69" s="427">
        <v>227</v>
      </c>
      <c r="H69" s="427">
        <v>1427</v>
      </c>
      <c r="I69" s="427">
        <v>11</v>
      </c>
      <c r="J69" s="427">
        <v>6.29</v>
      </c>
      <c r="K69" s="427">
        <v>118.92</v>
      </c>
    </row>
    <row r="70" spans="2:11" x14ac:dyDescent="0.3">
      <c r="B70" s="427">
        <v>12</v>
      </c>
      <c r="C70" s="428" t="s">
        <v>1456</v>
      </c>
      <c r="D70" s="427" t="s">
        <v>1112</v>
      </c>
      <c r="E70" s="427" t="s">
        <v>1455</v>
      </c>
      <c r="F70" s="427">
        <v>13</v>
      </c>
      <c r="G70" s="427">
        <v>287</v>
      </c>
      <c r="H70" s="427">
        <v>1517</v>
      </c>
      <c r="I70" s="427">
        <v>18</v>
      </c>
      <c r="J70" s="427">
        <v>5.29</v>
      </c>
      <c r="K70" s="427">
        <v>116.69</v>
      </c>
    </row>
    <row r="71" spans="2:11" x14ac:dyDescent="0.3">
      <c r="B71" s="427">
        <v>85</v>
      </c>
      <c r="C71" s="428" t="s">
        <v>1529</v>
      </c>
      <c r="D71" s="427" t="s">
        <v>1112</v>
      </c>
      <c r="E71" s="427" t="s">
        <v>1442</v>
      </c>
      <c r="F71" s="427">
        <v>11</v>
      </c>
      <c r="G71" s="427">
        <v>124</v>
      </c>
      <c r="H71" s="427">
        <v>650</v>
      </c>
      <c r="I71" s="427">
        <v>7</v>
      </c>
      <c r="J71" s="427">
        <v>5.24</v>
      </c>
      <c r="K71" s="427">
        <v>59.09</v>
      </c>
    </row>
    <row r="72" spans="2:11" x14ac:dyDescent="0.3">
      <c r="B72" s="427">
        <v>24</v>
      </c>
      <c r="C72" s="428" t="s">
        <v>1468</v>
      </c>
      <c r="D72" s="427" t="s">
        <v>1112</v>
      </c>
      <c r="E72" s="427" t="s">
        <v>1442</v>
      </c>
      <c r="F72" s="427">
        <v>14</v>
      </c>
      <c r="G72" s="427">
        <v>235</v>
      </c>
      <c r="H72" s="427">
        <v>1395</v>
      </c>
      <c r="I72" s="427">
        <v>14</v>
      </c>
      <c r="J72" s="427">
        <v>5.94</v>
      </c>
      <c r="K72" s="427">
        <v>99.64</v>
      </c>
    </row>
    <row r="73" spans="2:11" x14ac:dyDescent="0.3">
      <c r="B73" s="427">
        <v>34</v>
      </c>
      <c r="C73" s="428" t="s">
        <v>1478</v>
      </c>
      <c r="D73" s="427" t="s">
        <v>1112</v>
      </c>
      <c r="E73" s="427" t="s">
        <v>1455</v>
      </c>
      <c r="F73" s="427">
        <v>13</v>
      </c>
      <c r="G73" s="427">
        <v>235</v>
      </c>
      <c r="H73" s="427">
        <v>1188</v>
      </c>
      <c r="I73" s="427">
        <v>14</v>
      </c>
      <c r="J73" s="427">
        <v>5.0599999999999996</v>
      </c>
      <c r="K73" s="427">
        <v>91.38</v>
      </c>
    </row>
    <row r="74" spans="2:11" x14ac:dyDescent="0.3">
      <c r="B74" s="427">
        <v>90</v>
      </c>
      <c r="C74" s="428" t="s">
        <v>1534</v>
      </c>
      <c r="D74" s="427" t="s">
        <v>1112</v>
      </c>
      <c r="E74" s="427" t="s">
        <v>1444</v>
      </c>
      <c r="F74" s="427">
        <v>13</v>
      </c>
      <c r="G74" s="427">
        <v>147</v>
      </c>
      <c r="H74" s="427">
        <v>754</v>
      </c>
      <c r="I74" s="427">
        <v>11</v>
      </c>
      <c r="J74" s="427">
        <v>5.13</v>
      </c>
      <c r="K74" s="427">
        <v>58</v>
      </c>
    </row>
    <row r="75" spans="2:11" x14ac:dyDescent="0.3">
      <c r="B75" s="427">
        <v>63</v>
      </c>
      <c r="C75" s="428" t="s">
        <v>1507</v>
      </c>
      <c r="D75" s="427" t="s">
        <v>1116</v>
      </c>
      <c r="E75" s="427" t="s">
        <v>1442</v>
      </c>
      <c r="F75" s="427">
        <v>14</v>
      </c>
      <c r="G75" s="427">
        <v>279</v>
      </c>
      <c r="H75" s="427">
        <v>1037</v>
      </c>
      <c r="I75" s="427">
        <v>18</v>
      </c>
      <c r="J75" s="427">
        <v>3.72</v>
      </c>
      <c r="K75" s="427">
        <v>74.069999999999993</v>
      </c>
    </row>
    <row r="76" spans="2:11" x14ac:dyDescent="0.3">
      <c r="B76" s="427">
        <v>30</v>
      </c>
      <c r="C76" s="428" t="s">
        <v>1474</v>
      </c>
      <c r="D76" s="427" t="s">
        <v>1112</v>
      </c>
      <c r="E76" s="427" t="s">
        <v>1444</v>
      </c>
      <c r="F76" s="427">
        <v>13</v>
      </c>
      <c r="G76" s="427">
        <v>227</v>
      </c>
      <c r="H76" s="427">
        <v>1218</v>
      </c>
      <c r="I76" s="427">
        <v>11</v>
      </c>
      <c r="J76" s="427">
        <v>5.37</v>
      </c>
      <c r="K76" s="427">
        <v>93.69</v>
      </c>
    </row>
    <row r="77" spans="2:11" x14ac:dyDescent="0.3">
      <c r="B77" s="427">
        <v>9</v>
      </c>
      <c r="C77" s="428" t="s">
        <v>1452</v>
      </c>
      <c r="D77" s="427" t="s">
        <v>1112</v>
      </c>
      <c r="E77" s="427" t="s">
        <v>1446</v>
      </c>
      <c r="F77" s="427">
        <v>13</v>
      </c>
      <c r="G77" s="427">
        <v>230</v>
      </c>
      <c r="H77" s="427">
        <v>1546</v>
      </c>
      <c r="I77" s="427">
        <v>14</v>
      </c>
      <c r="J77" s="427">
        <v>6.72</v>
      </c>
      <c r="K77" s="427">
        <v>118.92</v>
      </c>
    </row>
    <row r="78" spans="2:11" x14ac:dyDescent="0.3">
      <c r="B78" s="427">
        <v>14</v>
      </c>
      <c r="C78" s="428" t="s">
        <v>1458</v>
      </c>
      <c r="D78" s="427" t="s">
        <v>1112</v>
      </c>
      <c r="E78" s="427" t="s">
        <v>1455</v>
      </c>
      <c r="F78" s="427">
        <v>12</v>
      </c>
      <c r="G78" s="427">
        <v>200</v>
      </c>
      <c r="H78" s="427">
        <v>1378</v>
      </c>
      <c r="I78" s="427">
        <v>17</v>
      </c>
      <c r="J78" s="427">
        <v>6.89</v>
      </c>
      <c r="K78" s="427">
        <v>114.83</v>
      </c>
    </row>
    <row r="79" spans="2:11" x14ac:dyDescent="0.3">
      <c r="B79" s="427">
        <v>56</v>
      </c>
      <c r="C79" s="428" t="s">
        <v>1500</v>
      </c>
      <c r="D79" s="427" t="s">
        <v>1112</v>
      </c>
      <c r="E79" s="427" t="s">
        <v>1442</v>
      </c>
      <c r="F79" s="427">
        <v>10</v>
      </c>
      <c r="G79" s="427">
        <v>156</v>
      </c>
      <c r="H79" s="427">
        <v>766</v>
      </c>
      <c r="I79" s="427">
        <v>2</v>
      </c>
      <c r="J79" s="427">
        <v>4.91</v>
      </c>
      <c r="K79" s="427">
        <v>76.599999999999994</v>
      </c>
    </row>
    <row r="80" spans="2:11" x14ac:dyDescent="0.3">
      <c r="B80" s="427">
        <v>42</v>
      </c>
      <c r="C80" s="428" t="s">
        <v>1486</v>
      </c>
      <c r="D80" s="427" t="s">
        <v>1112</v>
      </c>
      <c r="E80" s="427" t="s">
        <v>1444</v>
      </c>
      <c r="F80" s="427">
        <v>12</v>
      </c>
      <c r="G80" s="427">
        <v>134</v>
      </c>
      <c r="H80" s="427">
        <v>1034</v>
      </c>
      <c r="I80" s="427">
        <v>9</v>
      </c>
      <c r="J80" s="427">
        <v>7.72</v>
      </c>
      <c r="K80" s="427">
        <v>86.17</v>
      </c>
    </row>
    <row r="81" spans="2:11" x14ac:dyDescent="0.3">
      <c r="B81" s="427">
        <v>11</v>
      </c>
      <c r="C81" s="428" t="s">
        <v>1454</v>
      </c>
      <c r="D81" s="427" t="s">
        <v>1112</v>
      </c>
      <c r="E81" s="427" t="s">
        <v>1455</v>
      </c>
      <c r="F81" s="427">
        <v>14</v>
      </c>
      <c r="G81" s="427">
        <v>271</v>
      </c>
      <c r="H81" s="427">
        <v>1658</v>
      </c>
      <c r="I81" s="427">
        <v>17</v>
      </c>
      <c r="J81" s="427">
        <v>6.12</v>
      </c>
      <c r="K81" s="427">
        <v>118.43</v>
      </c>
    </row>
    <row r="82" spans="2:11" x14ac:dyDescent="0.3">
      <c r="B82" s="427">
        <v>88</v>
      </c>
      <c r="C82" s="428" t="s">
        <v>1532</v>
      </c>
      <c r="D82" s="427" t="s">
        <v>1112</v>
      </c>
      <c r="E82" s="427" t="s">
        <v>1455</v>
      </c>
      <c r="F82" s="427">
        <v>11</v>
      </c>
      <c r="G82" s="427">
        <v>148</v>
      </c>
      <c r="H82" s="427">
        <v>645</v>
      </c>
      <c r="I82" s="427">
        <v>4</v>
      </c>
      <c r="J82" s="427">
        <v>4.3600000000000003</v>
      </c>
      <c r="K82" s="427">
        <v>58.64</v>
      </c>
    </row>
    <row r="83" spans="2:11" x14ac:dyDescent="0.3">
      <c r="B83" s="427">
        <v>71</v>
      </c>
      <c r="C83" s="428" t="s">
        <v>1515</v>
      </c>
      <c r="D83" s="427" t="s">
        <v>1112</v>
      </c>
      <c r="E83" s="427" t="s">
        <v>1455</v>
      </c>
      <c r="F83" s="427">
        <v>11</v>
      </c>
      <c r="G83" s="427">
        <v>108</v>
      </c>
      <c r="H83" s="427">
        <v>734</v>
      </c>
      <c r="I83" s="427">
        <v>5</v>
      </c>
      <c r="J83" s="427">
        <v>6.8</v>
      </c>
      <c r="K83" s="427">
        <v>66.73</v>
      </c>
    </row>
    <row r="84" spans="2:11" x14ac:dyDescent="0.3">
      <c r="B84" s="427">
        <v>66</v>
      </c>
      <c r="C84" s="428" t="s">
        <v>1510</v>
      </c>
      <c r="D84" s="427" t="s">
        <v>1112</v>
      </c>
      <c r="E84" s="427" t="s">
        <v>1444</v>
      </c>
      <c r="F84" s="427">
        <v>12</v>
      </c>
      <c r="G84" s="427">
        <v>181</v>
      </c>
      <c r="H84" s="427">
        <v>871</v>
      </c>
      <c r="I84" s="427">
        <v>5</v>
      </c>
      <c r="J84" s="427">
        <v>4.8099999999999996</v>
      </c>
      <c r="K84" s="427">
        <v>72.58</v>
      </c>
    </row>
    <row r="85" spans="2:11" x14ac:dyDescent="0.3">
      <c r="B85" s="427">
        <v>23</v>
      </c>
      <c r="C85" s="428" t="s">
        <v>1467</v>
      </c>
      <c r="D85" s="427" t="s">
        <v>1112</v>
      </c>
      <c r="E85" s="427" t="s">
        <v>1444</v>
      </c>
      <c r="F85" s="427">
        <v>13</v>
      </c>
      <c r="G85" s="427">
        <v>282</v>
      </c>
      <c r="H85" s="427">
        <v>1345</v>
      </c>
      <c r="I85" s="427">
        <v>13</v>
      </c>
      <c r="J85" s="427">
        <v>4.7699999999999996</v>
      </c>
      <c r="K85" s="427">
        <v>103.46</v>
      </c>
    </row>
    <row r="86" spans="2:11" x14ac:dyDescent="0.3">
      <c r="B86" s="427">
        <v>18</v>
      </c>
      <c r="C86" s="428" t="s">
        <v>1462</v>
      </c>
      <c r="D86" s="427" t="s">
        <v>1112</v>
      </c>
      <c r="E86" s="427" t="s">
        <v>1455</v>
      </c>
      <c r="F86" s="427">
        <v>13</v>
      </c>
      <c r="G86" s="427">
        <v>308</v>
      </c>
      <c r="H86" s="427">
        <v>1457</v>
      </c>
      <c r="I86" s="427">
        <v>14</v>
      </c>
      <c r="J86" s="427">
        <v>4.7300000000000004</v>
      </c>
      <c r="K86" s="427">
        <v>112.08</v>
      </c>
    </row>
    <row r="87" spans="2:11" x14ac:dyDescent="0.3">
      <c r="B87" s="427">
        <v>95</v>
      </c>
      <c r="C87" s="428" t="s">
        <v>1539</v>
      </c>
      <c r="D87" s="427" t="s">
        <v>1112</v>
      </c>
      <c r="E87" s="427" t="s">
        <v>1442</v>
      </c>
      <c r="F87" s="427">
        <v>10</v>
      </c>
      <c r="G87" s="427">
        <v>79</v>
      </c>
      <c r="H87" s="427">
        <v>567</v>
      </c>
      <c r="I87" s="427">
        <v>5</v>
      </c>
      <c r="J87" s="427">
        <v>7.18</v>
      </c>
      <c r="K87" s="427">
        <v>56.7</v>
      </c>
    </row>
    <row r="88" spans="2:11" x14ac:dyDescent="0.3">
      <c r="B88" s="427">
        <v>17</v>
      </c>
      <c r="C88" s="428" t="s">
        <v>1461</v>
      </c>
      <c r="D88" s="427" t="s">
        <v>1112</v>
      </c>
      <c r="E88" s="427" t="s">
        <v>1442</v>
      </c>
      <c r="F88" s="427">
        <v>13</v>
      </c>
      <c r="G88" s="427">
        <v>241</v>
      </c>
      <c r="H88" s="427">
        <v>1465</v>
      </c>
      <c r="I88" s="427">
        <v>13</v>
      </c>
      <c r="J88" s="427">
        <v>6.08</v>
      </c>
      <c r="K88" s="427">
        <v>112.69</v>
      </c>
    </row>
    <row r="89" spans="2:11" x14ac:dyDescent="0.3">
      <c r="B89" s="427">
        <v>97</v>
      </c>
      <c r="C89" s="428" t="s">
        <v>1541</v>
      </c>
      <c r="D89" s="427" t="s">
        <v>1112</v>
      </c>
      <c r="E89" s="427" t="s">
        <v>1442</v>
      </c>
      <c r="F89" s="427">
        <v>12</v>
      </c>
      <c r="G89" s="427">
        <v>110</v>
      </c>
      <c r="H89" s="427">
        <v>673</v>
      </c>
      <c r="I89" s="427">
        <v>3</v>
      </c>
      <c r="J89" s="427">
        <v>6.12</v>
      </c>
      <c r="K89" s="427">
        <v>56.08</v>
      </c>
    </row>
    <row r="90" spans="2:11" x14ac:dyDescent="0.3">
      <c r="B90" s="427">
        <v>55</v>
      </c>
      <c r="C90" s="428" t="s">
        <v>1499</v>
      </c>
      <c r="D90" s="427" t="s">
        <v>1112</v>
      </c>
      <c r="E90" s="427" t="s">
        <v>1455</v>
      </c>
      <c r="F90" s="427">
        <v>12</v>
      </c>
      <c r="G90" s="427">
        <v>200</v>
      </c>
      <c r="H90" s="427">
        <v>935</v>
      </c>
      <c r="I90" s="427">
        <v>9</v>
      </c>
      <c r="J90" s="427">
        <v>4.68</v>
      </c>
      <c r="K90" s="427">
        <v>77.92</v>
      </c>
    </row>
    <row r="91" spans="2:11" x14ac:dyDescent="0.3">
      <c r="B91" s="427">
        <v>80</v>
      </c>
      <c r="C91" s="428" t="s">
        <v>1524</v>
      </c>
      <c r="D91" s="427" t="s">
        <v>1112</v>
      </c>
      <c r="E91" s="427" t="s">
        <v>1444</v>
      </c>
      <c r="F91" s="427">
        <v>12</v>
      </c>
      <c r="G91" s="427">
        <v>168</v>
      </c>
      <c r="H91" s="427">
        <v>723</v>
      </c>
      <c r="I91" s="427">
        <v>12</v>
      </c>
      <c r="J91" s="427">
        <v>4.3</v>
      </c>
      <c r="K91" s="427">
        <v>60.25</v>
      </c>
    </row>
    <row r="92" spans="2:11" x14ac:dyDescent="0.3">
      <c r="B92" s="427">
        <v>33</v>
      </c>
      <c r="C92" s="428" t="s">
        <v>1477</v>
      </c>
      <c r="D92" s="427" t="s">
        <v>1116</v>
      </c>
      <c r="E92" s="427" t="s">
        <v>1442</v>
      </c>
      <c r="F92" s="427">
        <v>13</v>
      </c>
      <c r="G92" s="427">
        <v>315</v>
      </c>
      <c r="H92" s="427">
        <v>1192</v>
      </c>
      <c r="I92" s="427">
        <v>27</v>
      </c>
      <c r="J92" s="427">
        <v>3.78</v>
      </c>
      <c r="K92" s="427">
        <v>91.69</v>
      </c>
    </row>
    <row r="93" spans="2:11" x14ac:dyDescent="0.3">
      <c r="B93" s="427">
        <v>20</v>
      </c>
      <c r="C93" s="428" t="s">
        <v>1464</v>
      </c>
      <c r="D93" s="427" t="s">
        <v>1112</v>
      </c>
      <c r="E93" s="427" t="s">
        <v>1455</v>
      </c>
      <c r="F93" s="427">
        <v>12</v>
      </c>
      <c r="G93" s="427">
        <v>207</v>
      </c>
      <c r="H93" s="427">
        <v>1296</v>
      </c>
      <c r="I93" s="427">
        <v>13</v>
      </c>
      <c r="J93" s="427">
        <v>6.26</v>
      </c>
      <c r="K93" s="427">
        <v>108</v>
      </c>
    </row>
    <row r="94" spans="2:11" x14ac:dyDescent="0.3">
      <c r="B94" s="427">
        <v>65</v>
      </c>
      <c r="C94" s="428" t="s">
        <v>1509</v>
      </c>
      <c r="D94" s="427" t="s">
        <v>1112</v>
      </c>
      <c r="E94" s="427" t="s">
        <v>1455</v>
      </c>
      <c r="F94" s="427">
        <v>11</v>
      </c>
      <c r="G94" s="427">
        <v>198</v>
      </c>
      <c r="H94" s="427">
        <v>804</v>
      </c>
      <c r="I94" s="427">
        <v>9</v>
      </c>
      <c r="J94" s="427">
        <v>4.0599999999999996</v>
      </c>
      <c r="K94" s="427">
        <v>73.09</v>
      </c>
    </row>
    <row r="95" spans="2:11" x14ac:dyDescent="0.3">
      <c r="B95" s="427">
        <v>51</v>
      </c>
      <c r="C95" s="428" t="s">
        <v>1495</v>
      </c>
      <c r="D95" s="427" t="s">
        <v>1112</v>
      </c>
      <c r="E95" s="427" t="s">
        <v>1442</v>
      </c>
      <c r="F95" s="427">
        <v>14</v>
      </c>
      <c r="G95" s="427">
        <v>220</v>
      </c>
      <c r="H95" s="427">
        <v>1147</v>
      </c>
      <c r="I95" s="427">
        <v>10</v>
      </c>
      <c r="J95" s="427">
        <v>5.21</v>
      </c>
      <c r="K95" s="427">
        <v>81.93</v>
      </c>
    </row>
    <row r="96" spans="2:11" x14ac:dyDescent="0.3">
      <c r="B96" s="427">
        <v>100</v>
      </c>
      <c r="C96" s="428" t="s">
        <v>1544</v>
      </c>
      <c r="D96" s="427" t="s">
        <v>1112</v>
      </c>
      <c r="E96" s="427" t="s">
        <v>1442</v>
      </c>
      <c r="F96" s="427">
        <v>13</v>
      </c>
      <c r="G96" s="427">
        <v>191</v>
      </c>
      <c r="H96" s="427">
        <v>713</v>
      </c>
      <c r="I96" s="427">
        <v>9</v>
      </c>
      <c r="J96" s="427">
        <v>3.73</v>
      </c>
      <c r="K96" s="427">
        <v>54.85</v>
      </c>
    </row>
    <row r="97" spans="2:11" x14ac:dyDescent="0.3">
      <c r="B97" s="427">
        <v>1</v>
      </c>
      <c r="C97" s="428" t="s">
        <v>1441</v>
      </c>
      <c r="D97" s="427" t="s">
        <v>1112</v>
      </c>
      <c r="E97" s="427" t="s">
        <v>1442</v>
      </c>
      <c r="F97" s="427">
        <v>12</v>
      </c>
      <c r="G97" s="427">
        <v>276</v>
      </c>
      <c r="H97" s="427">
        <v>1808</v>
      </c>
      <c r="I97" s="427">
        <v>19</v>
      </c>
      <c r="J97" s="427">
        <v>6.55</v>
      </c>
      <c r="K97" s="427">
        <v>150.66999999999999</v>
      </c>
    </row>
    <row r="98" spans="2:11" x14ac:dyDescent="0.3">
      <c r="B98" s="427">
        <v>5</v>
      </c>
      <c r="C98" s="428" t="s">
        <v>1448</v>
      </c>
      <c r="D98" s="427" t="s">
        <v>1112</v>
      </c>
      <c r="E98" s="427" t="s">
        <v>1446</v>
      </c>
      <c r="F98" s="427">
        <v>13</v>
      </c>
      <c r="G98" s="427">
        <v>293</v>
      </c>
      <c r="H98" s="427">
        <v>1655</v>
      </c>
      <c r="I98" s="427">
        <v>21</v>
      </c>
      <c r="J98" s="427">
        <v>5.65</v>
      </c>
      <c r="K98" s="427">
        <v>127.31</v>
      </c>
    </row>
    <row r="99" spans="2:11" x14ac:dyDescent="0.3">
      <c r="B99" s="427">
        <v>54</v>
      </c>
      <c r="C99" s="428" t="s">
        <v>1498</v>
      </c>
      <c r="D99" s="427" t="s">
        <v>1112</v>
      </c>
      <c r="E99" s="427" t="s">
        <v>1442</v>
      </c>
      <c r="F99" s="427">
        <v>13</v>
      </c>
      <c r="G99" s="427">
        <v>246</v>
      </c>
      <c r="H99" s="427">
        <v>1016</v>
      </c>
      <c r="I99" s="427">
        <v>1</v>
      </c>
      <c r="J99" s="427">
        <v>4.13</v>
      </c>
      <c r="K99" s="427">
        <v>78.150000000000006</v>
      </c>
    </row>
    <row r="100" spans="2:11" x14ac:dyDescent="0.3">
      <c r="B100" s="427">
        <v>64</v>
      </c>
      <c r="C100" s="428" t="s">
        <v>1508</v>
      </c>
      <c r="D100" s="427" t="s">
        <v>1112</v>
      </c>
      <c r="E100" s="427" t="s">
        <v>1455</v>
      </c>
      <c r="F100" s="427">
        <v>13</v>
      </c>
      <c r="G100" s="427">
        <v>183</v>
      </c>
      <c r="H100" s="427">
        <v>952</v>
      </c>
      <c r="I100" s="427">
        <v>12</v>
      </c>
      <c r="J100" s="427">
        <v>5.2</v>
      </c>
      <c r="K100" s="427">
        <v>73.23</v>
      </c>
    </row>
    <row r="101" spans="2:11" x14ac:dyDescent="0.3">
      <c r="B101" s="427">
        <v>95</v>
      </c>
      <c r="C101" s="428" t="s">
        <v>1540</v>
      </c>
      <c r="D101" s="427" t="s">
        <v>1112</v>
      </c>
      <c r="E101" s="427" t="s">
        <v>1442</v>
      </c>
      <c r="F101" s="427">
        <v>10</v>
      </c>
      <c r="G101" s="427">
        <v>124</v>
      </c>
      <c r="H101" s="427">
        <v>567</v>
      </c>
      <c r="I101" s="427">
        <v>1</v>
      </c>
      <c r="J101" s="427">
        <v>4.57</v>
      </c>
      <c r="K101" s="427">
        <v>56.7</v>
      </c>
    </row>
    <row r="102" spans="2:11" x14ac:dyDescent="0.3">
      <c r="B102" s="427">
        <v>34</v>
      </c>
      <c r="C102" s="428" t="s">
        <v>1479</v>
      </c>
      <c r="D102" s="427" t="s">
        <v>1112</v>
      </c>
      <c r="E102" s="427" t="s">
        <v>1442</v>
      </c>
      <c r="F102" s="427">
        <v>13</v>
      </c>
      <c r="G102" s="427">
        <v>236</v>
      </c>
      <c r="H102" s="427">
        <v>1188</v>
      </c>
      <c r="I102" s="427">
        <v>12</v>
      </c>
      <c r="J102" s="427">
        <v>5.03</v>
      </c>
      <c r="K102" s="427">
        <v>91.38</v>
      </c>
    </row>
    <row r="103" spans="2:11" x14ac:dyDescent="0.3">
      <c r="B103" s="427">
        <v>82</v>
      </c>
      <c r="C103" s="428" t="s">
        <v>1526</v>
      </c>
      <c r="D103" s="427" t="s">
        <v>1116</v>
      </c>
      <c r="E103" s="427" t="s">
        <v>1455</v>
      </c>
      <c r="F103" s="427">
        <v>13</v>
      </c>
      <c r="G103" s="427">
        <v>162</v>
      </c>
      <c r="H103" s="427">
        <v>779</v>
      </c>
      <c r="I103" s="427">
        <v>7</v>
      </c>
      <c r="J103" s="427">
        <v>4.8099999999999996</v>
      </c>
      <c r="K103" s="427">
        <v>59.92</v>
      </c>
    </row>
    <row r="104" spans="2:11" x14ac:dyDescent="0.3">
      <c r="B104" s="427">
        <v>76</v>
      </c>
      <c r="C104" s="428" t="s">
        <v>1520</v>
      </c>
      <c r="D104" s="427" t="s">
        <v>1116</v>
      </c>
      <c r="E104" s="427" t="s">
        <v>1444</v>
      </c>
      <c r="F104" s="427">
        <v>14</v>
      </c>
      <c r="G104" s="427">
        <v>217</v>
      </c>
      <c r="H104" s="427">
        <v>910</v>
      </c>
      <c r="I104" s="427">
        <v>14</v>
      </c>
      <c r="J104" s="427">
        <v>4.1900000000000004</v>
      </c>
      <c r="K104" s="427">
        <v>65</v>
      </c>
    </row>
    <row r="105" spans="2:11" x14ac:dyDescent="0.3">
      <c r="B105" s="427">
        <v>2</v>
      </c>
      <c r="C105" s="428" t="s">
        <v>1443</v>
      </c>
      <c r="D105" s="427" t="s">
        <v>1112</v>
      </c>
      <c r="E105" s="427" t="s">
        <v>1444</v>
      </c>
      <c r="F105" s="427">
        <v>13</v>
      </c>
      <c r="G105" s="427">
        <v>343</v>
      </c>
      <c r="H105" s="427">
        <v>1871</v>
      </c>
      <c r="I105" s="427">
        <v>28</v>
      </c>
      <c r="J105" s="427">
        <v>5.45</v>
      </c>
      <c r="K105" s="427">
        <v>143.91999999999999</v>
      </c>
    </row>
    <row r="106" spans="2:11" x14ac:dyDescent="0.3">
      <c r="B106" s="427">
        <v>77</v>
      </c>
      <c r="C106" s="428" t="s">
        <v>1521</v>
      </c>
      <c r="D106" s="427" t="s">
        <v>1112</v>
      </c>
      <c r="E106" s="427" t="s">
        <v>1444</v>
      </c>
      <c r="F106" s="427">
        <v>12</v>
      </c>
      <c r="G106" s="427">
        <v>160</v>
      </c>
      <c r="H106" s="427">
        <v>773</v>
      </c>
      <c r="I106" s="427">
        <v>6</v>
      </c>
      <c r="J106" s="427">
        <v>4.83</v>
      </c>
      <c r="K106" s="427">
        <v>64.42</v>
      </c>
    </row>
    <row r="107" spans="2:11" x14ac:dyDescent="0.3">
      <c r="B107" s="427">
        <v>86</v>
      </c>
      <c r="C107" s="428" t="s">
        <v>1530</v>
      </c>
      <c r="D107" s="427" t="s">
        <v>1116</v>
      </c>
      <c r="E107" s="427" t="s">
        <v>1446</v>
      </c>
      <c r="F107" s="427">
        <v>12</v>
      </c>
      <c r="G107" s="427">
        <v>202</v>
      </c>
      <c r="H107" s="427">
        <v>706</v>
      </c>
      <c r="I107" s="427">
        <v>5</v>
      </c>
      <c r="J107" s="427">
        <v>3.5</v>
      </c>
      <c r="K107" s="427">
        <v>58.83</v>
      </c>
    </row>
    <row r="108" spans="2:11" x14ac:dyDescent="0.3">
      <c r="B108" s="427">
        <v>8</v>
      </c>
      <c r="C108" s="428" t="s">
        <v>1451</v>
      </c>
      <c r="D108" s="427" t="s">
        <v>1112</v>
      </c>
      <c r="E108" s="427" t="s">
        <v>1442</v>
      </c>
      <c r="F108" s="427">
        <v>11</v>
      </c>
      <c r="G108" s="427">
        <v>172</v>
      </c>
      <c r="H108" s="427">
        <v>1345</v>
      </c>
      <c r="I108" s="427">
        <v>10</v>
      </c>
      <c r="J108" s="427">
        <v>7.82</v>
      </c>
      <c r="K108" s="427">
        <v>122.27</v>
      </c>
    </row>
    <row r="109" spans="2:11" x14ac:dyDescent="0.3">
      <c r="B109" s="427">
        <v>60</v>
      </c>
      <c r="C109" s="428" t="s">
        <v>1504</v>
      </c>
      <c r="D109" s="427" t="s">
        <v>1112</v>
      </c>
      <c r="E109" s="427" t="s">
        <v>1442</v>
      </c>
      <c r="F109" s="427">
        <v>13</v>
      </c>
      <c r="G109" s="427">
        <v>182</v>
      </c>
      <c r="H109" s="427">
        <v>971</v>
      </c>
      <c r="I109" s="427">
        <v>6</v>
      </c>
      <c r="J109" s="427">
        <v>5.34</v>
      </c>
      <c r="K109" s="427">
        <v>74.69</v>
      </c>
    </row>
    <row r="110" spans="2:11" x14ac:dyDescent="0.3">
      <c r="B110" s="427">
        <v>75</v>
      </c>
      <c r="C110" s="428" t="s">
        <v>1519</v>
      </c>
      <c r="D110" s="427" t="s">
        <v>1112</v>
      </c>
      <c r="E110" s="427" t="s">
        <v>1446</v>
      </c>
      <c r="F110" s="427">
        <v>12</v>
      </c>
      <c r="G110" s="427">
        <v>145</v>
      </c>
      <c r="H110" s="427">
        <v>783</v>
      </c>
      <c r="I110" s="427">
        <v>3</v>
      </c>
      <c r="J110" s="427">
        <v>5.4</v>
      </c>
      <c r="K110" s="427">
        <v>65.25</v>
      </c>
    </row>
  </sheetData>
  <sortState ref="B10:K109">
    <sortCondition ref="C10"/>
  </sortState>
  <dataValidations count="2">
    <dataValidation type="list" allowBlank="1" showInputMessage="1" showErrorMessage="1" sqref="C3">
      <formula1>$C$11:$C$110</formula1>
    </dataValidation>
    <dataValidation type="list" allowBlank="1" showInputMessage="1" showErrorMessage="1" sqref="C4">
      <formula1>$D$10:$K$10</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showGridLines="0" workbookViewId="0">
      <selection activeCell="E6" sqref="E6"/>
    </sheetView>
  </sheetViews>
  <sheetFormatPr defaultColWidth="9.109375" defaultRowHeight="15.6" x14ac:dyDescent="0.3"/>
  <cols>
    <col min="1" max="9" width="9.109375" style="142"/>
    <col min="10" max="10" width="29.6640625" style="142" customWidth="1"/>
    <col min="11" max="16384" width="9.109375" style="142"/>
  </cols>
  <sheetData>
    <row r="1" spans="1:15" ht="23.4" x14ac:dyDescent="0.45">
      <c r="A1" s="33" t="s">
        <v>503</v>
      </c>
      <c r="O1" s="634" t="s">
        <v>3016</v>
      </c>
    </row>
    <row r="3" spans="1:15" ht="18" x14ac:dyDescent="0.35">
      <c r="B3" s="425" t="s">
        <v>1563</v>
      </c>
      <c r="E3" s="19"/>
    </row>
    <row r="4" spans="1:15" x14ac:dyDescent="0.3">
      <c r="E4" s="19"/>
    </row>
    <row r="5" spans="1:15" ht="31.8" thickBot="1" x14ac:dyDescent="0.35">
      <c r="C5" s="253" t="s">
        <v>1564</v>
      </c>
      <c r="D5" s="375"/>
      <c r="E5" s="253" t="s">
        <v>596</v>
      </c>
      <c r="J5" s="384" t="s">
        <v>1043</v>
      </c>
    </row>
    <row r="6" spans="1:15" x14ac:dyDescent="0.3">
      <c r="A6" s="142" t="s">
        <v>1565</v>
      </c>
      <c r="C6" s="242">
        <v>90</v>
      </c>
      <c r="D6" s="242"/>
      <c r="E6" s="242" t="str">
        <f>LOOKUP(C6,{0,60,63,67,70,73,77,80,83,87,90,93,97},{"F","D-","D","D+","C-","C","C+","B-","B","B+","A-","A","A+"})</f>
        <v>A-</v>
      </c>
      <c r="J6" s="142" t="s">
        <v>1575</v>
      </c>
    </row>
    <row r="7" spans="1:15" x14ac:dyDescent="0.3">
      <c r="A7" s="142" t="s">
        <v>1566</v>
      </c>
      <c r="C7" s="242">
        <v>75</v>
      </c>
      <c r="D7" s="242"/>
      <c r="E7" s="242" t="str">
        <f>LOOKUP(C7,{0,60,63,67,70,73,77,80,83,87,90,93,97},{"F","D-","D","D+","C-","C","C+","B-","B","B+","A-","A","A+"})</f>
        <v>C</v>
      </c>
      <c r="J7" s="175" t="s">
        <v>1576</v>
      </c>
    </row>
    <row r="8" spans="1:15" x14ac:dyDescent="0.3">
      <c r="A8" s="142" t="s">
        <v>1567</v>
      </c>
      <c r="C8" s="242">
        <v>62</v>
      </c>
      <c r="D8" s="242"/>
      <c r="E8" s="242" t="str">
        <f>LOOKUP(C8,{0,60,63,67,70,73,77,80,83,87,90,93,97},{"F","D-","D","D+","C-","C","C+","B-","B","B+","A-","A","A+"})</f>
        <v>D-</v>
      </c>
    </row>
    <row r="9" spans="1:15" x14ac:dyDescent="0.3">
      <c r="A9" s="142" t="s">
        <v>1568</v>
      </c>
      <c r="C9" s="242">
        <v>100</v>
      </c>
      <c r="D9" s="242"/>
      <c r="E9" s="242" t="str">
        <f>LOOKUP(C9,{0,60,63,67,70,73,77,80,83,87,90,93,97},{"F","D-","D","D+","C-","C","C+","B-","B","B+","A-","A","A+"})</f>
        <v>A+</v>
      </c>
    </row>
    <row r="10" spans="1:15" x14ac:dyDescent="0.3">
      <c r="A10" s="142" t="s">
        <v>1569</v>
      </c>
      <c r="C10" s="242">
        <v>98</v>
      </c>
      <c r="D10" s="242"/>
      <c r="E10" s="242" t="str">
        <f>LOOKUP(C10,{0,60,63,67,70,73,77,80,83,87,90,93,97},{"F","D-","D","D+","C-","C","C+","B-","B","B+","A-","A","A+"})</f>
        <v>A+</v>
      </c>
    </row>
    <row r="11" spans="1:15" x14ac:dyDescent="0.3">
      <c r="A11" s="142" t="s">
        <v>1570</v>
      </c>
      <c r="C11" s="242">
        <v>86</v>
      </c>
      <c r="D11" s="242"/>
      <c r="E11" s="242" t="str">
        <f>LOOKUP(C11,{0,60,63,67,70,73,77,80,83,87,90,93,97},{"F","D-","D","D+","C-","C","C+","B-","B","B+","A-","A","A+"})</f>
        <v>B</v>
      </c>
    </row>
    <row r="12" spans="1:15" x14ac:dyDescent="0.3">
      <c r="A12" s="142" t="s">
        <v>1571</v>
      </c>
      <c r="C12" s="242">
        <v>84</v>
      </c>
      <c r="D12" s="242"/>
      <c r="E12" s="242" t="str">
        <f>LOOKUP(C12,{0,60,63,67,70,73,77,80,83,87,90,93,97},{"F","D-","D","D+","C-","C","C+","B-","B","B+","A-","A","A+"})</f>
        <v>B</v>
      </c>
    </row>
    <row r="13" spans="1:15" x14ac:dyDescent="0.3">
      <c r="A13" s="142" t="s">
        <v>1572</v>
      </c>
      <c r="C13" s="242">
        <v>95</v>
      </c>
      <c r="D13" s="242"/>
      <c r="E13" s="242" t="str">
        <f>LOOKUP(C13,{0,60,63,67,70,73,77,80,83,87,90,93,97},{"F","D-","D","D+","C-","C","C+","B-","B","B+","A-","A","A+"})</f>
        <v>A</v>
      </c>
    </row>
    <row r="14" spans="1:15" x14ac:dyDescent="0.3">
      <c r="A14" s="142" t="s">
        <v>1573</v>
      </c>
      <c r="C14" s="242">
        <v>93</v>
      </c>
      <c r="D14" s="242"/>
      <c r="E14" s="242" t="str">
        <f>LOOKUP(C14,{0,60,63,67,70,73,77,80,83,87,90,93,97},{"F","D-","D","D+","C-","C","C+","B-","B","B+","A-","A","A+"})</f>
        <v>A</v>
      </c>
    </row>
    <row r="15" spans="1:15" x14ac:dyDescent="0.3">
      <c r="A15" s="142" t="s">
        <v>1574</v>
      </c>
      <c r="C15" s="242">
        <v>57</v>
      </c>
      <c r="D15" s="242"/>
      <c r="E15" s="242" t="str">
        <f>LOOKUP(C15,{0,60,63,67,70,73,77,80,83,87,90,93,97},{"F","D-","D","D+","C-","C","C+","B-","B","B+","A-","A","A+"})</f>
        <v>F</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workbookViewId="0">
      <selection activeCell="E25" sqref="E25"/>
    </sheetView>
  </sheetViews>
  <sheetFormatPr defaultColWidth="9.109375" defaultRowHeight="15.6" x14ac:dyDescent="0.3"/>
  <cols>
    <col min="1" max="1" width="9.109375" style="142"/>
    <col min="2" max="5" width="13.88671875" style="142" customWidth="1"/>
    <col min="6" max="7" width="9.109375" style="142"/>
    <col min="8" max="8" width="25.109375" style="142" customWidth="1"/>
    <col min="9" max="9" width="12.6640625" style="142" bestFit="1" customWidth="1"/>
    <col min="10" max="16384" width="9.109375" style="142"/>
  </cols>
  <sheetData>
    <row r="1" spans="1:11" ht="23.4" x14ac:dyDescent="0.45">
      <c r="A1" s="33" t="s">
        <v>1577</v>
      </c>
      <c r="K1" s="634" t="s">
        <v>3016</v>
      </c>
    </row>
    <row r="2" spans="1:11" ht="23.4" x14ac:dyDescent="0.45">
      <c r="A2" s="414" t="s">
        <v>1578</v>
      </c>
    </row>
    <row r="3" spans="1:11" x14ac:dyDescent="0.3">
      <c r="C3" s="176"/>
      <c r="H3" s="176" t="s">
        <v>645</v>
      </c>
      <c r="I3" s="150">
        <v>286000</v>
      </c>
    </row>
    <row r="4" spans="1:11" x14ac:dyDescent="0.3">
      <c r="H4" s="176"/>
      <c r="I4" s="150"/>
    </row>
    <row r="5" spans="1:11" x14ac:dyDescent="0.3">
      <c r="H5" s="176" t="s">
        <v>1420</v>
      </c>
      <c r="I5" s="150">
        <v>45000</v>
      </c>
    </row>
    <row r="6" spans="1:11" x14ac:dyDescent="0.3">
      <c r="B6" s="308" t="s">
        <v>1411</v>
      </c>
      <c r="C6" s="308" t="s">
        <v>1412</v>
      </c>
      <c r="D6" s="308" t="s">
        <v>612</v>
      </c>
      <c r="E6" s="308" t="s">
        <v>1413</v>
      </c>
      <c r="H6" s="176" t="s">
        <v>1421</v>
      </c>
      <c r="I6" s="150">
        <v>33000</v>
      </c>
    </row>
    <row r="7" spans="1:11" x14ac:dyDescent="0.3">
      <c r="B7" s="415">
        <v>0</v>
      </c>
      <c r="C7" s="415">
        <v>12750</v>
      </c>
      <c r="D7" s="415">
        <v>0</v>
      </c>
      <c r="E7" s="416">
        <v>0.06</v>
      </c>
      <c r="H7" s="176" t="s">
        <v>1422</v>
      </c>
      <c r="I7" s="150">
        <v>14500</v>
      </c>
    </row>
    <row r="8" spans="1:11" x14ac:dyDescent="0.3">
      <c r="B8" s="415">
        <v>12750</v>
      </c>
      <c r="C8" s="415">
        <v>60000</v>
      </c>
      <c r="D8" s="415">
        <v>765</v>
      </c>
      <c r="E8" s="416">
        <v>7.0000000000000007E-2</v>
      </c>
      <c r="H8" s="176" t="s">
        <v>1423</v>
      </c>
      <c r="I8" s="150">
        <v>23500</v>
      </c>
    </row>
    <row r="9" spans="1:11" x14ac:dyDescent="0.3">
      <c r="B9" s="415">
        <v>60000</v>
      </c>
      <c r="C9" s="415">
        <v>120000</v>
      </c>
      <c r="D9" s="415">
        <v>4072.5</v>
      </c>
      <c r="E9" s="416">
        <v>7.7499999999999999E-2</v>
      </c>
      <c r="H9" s="176" t="s">
        <v>1424</v>
      </c>
      <c r="I9" s="150">
        <v>30000</v>
      </c>
    </row>
    <row r="10" spans="1:11" x14ac:dyDescent="0.3">
      <c r="B10" s="415">
        <v>120000</v>
      </c>
      <c r="C10" s="417" t="s">
        <v>1414</v>
      </c>
      <c r="D10" s="415">
        <v>8722.5</v>
      </c>
      <c r="E10" s="416">
        <v>8.2500000000000004E-2</v>
      </c>
      <c r="H10" s="176" t="s">
        <v>1425</v>
      </c>
      <c r="I10" s="150">
        <v>17000</v>
      </c>
    </row>
    <row r="11" spans="1:11" x14ac:dyDescent="0.3">
      <c r="B11" s="3"/>
      <c r="C11" s="3"/>
      <c r="D11" s="418"/>
      <c r="E11" s="419"/>
      <c r="H11" s="176" t="s">
        <v>1426</v>
      </c>
      <c r="I11" s="150">
        <v>32000</v>
      </c>
    </row>
    <row r="12" spans="1:11" x14ac:dyDescent="0.3">
      <c r="B12" s="3"/>
      <c r="C12" s="3"/>
      <c r="D12" s="3"/>
      <c r="E12" s="419"/>
      <c r="H12" s="176"/>
      <c r="I12" s="150"/>
    </row>
    <row r="13" spans="1:11" x14ac:dyDescent="0.3">
      <c r="B13" s="188" t="s">
        <v>1415</v>
      </c>
      <c r="C13" s="188"/>
      <c r="D13" s="188"/>
      <c r="E13" s="191">
        <f>I15</f>
        <v>91000</v>
      </c>
      <c r="H13" s="176" t="s">
        <v>1427</v>
      </c>
      <c r="I13" s="420">
        <f>SUM(I5:I11)</f>
        <v>195000</v>
      </c>
    </row>
    <row r="14" spans="1:11" x14ac:dyDescent="0.3">
      <c r="B14" s="188" t="s">
        <v>1416</v>
      </c>
      <c r="C14" s="188"/>
      <c r="D14" s="188"/>
      <c r="E14" s="191">
        <f>VLOOKUP(E13,$B$6:$E$10,MATCH("From",$B$6:$E$6,))</f>
        <v>60000</v>
      </c>
      <c r="H14" s="176"/>
      <c r="I14" s="150"/>
    </row>
    <row r="15" spans="1:11" x14ac:dyDescent="0.3">
      <c r="B15" s="188" t="s">
        <v>1417</v>
      </c>
      <c r="C15" s="3"/>
      <c r="D15" s="3"/>
      <c r="E15" s="191">
        <f>VLOOKUP(E14,$B$6:$E$10,MATCH("Tax",$B$6:$E$6,))</f>
        <v>4072.5</v>
      </c>
      <c r="H15" s="176" t="s">
        <v>607</v>
      </c>
      <c r="I15" s="420">
        <f>I3-I13</f>
        <v>91000</v>
      </c>
    </row>
    <row r="16" spans="1:11" x14ac:dyDescent="0.3">
      <c r="B16" s="188" t="s">
        <v>1418</v>
      </c>
      <c r="C16" s="3"/>
      <c r="D16" s="3"/>
      <c r="E16" s="421">
        <f>VLOOKUP(E15,$B$6:$E$10,MATCH("Percent",$B$6:$E$6,))</f>
        <v>0.06</v>
      </c>
    </row>
    <row r="17" spans="2:9" x14ac:dyDescent="0.3">
      <c r="B17" s="3"/>
      <c r="C17" s="3"/>
      <c r="D17" s="3"/>
      <c r="E17" s="422"/>
      <c r="H17" s="176" t="s">
        <v>612</v>
      </c>
      <c r="I17" s="150">
        <f>E18</f>
        <v>5932.5</v>
      </c>
    </row>
    <row r="18" spans="2:9" ht="16.2" thickBot="1" x14ac:dyDescent="0.35">
      <c r="B18" s="188" t="s">
        <v>1419</v>
      </c>
      <c r="C18" s="3"/>
      <c r="D18" s="3"/>
      <c r="E18" s="423">
        <f>E15+((E13-E14)*E16)</f>
        <v>5932.5</v>
      </c>
      <c r="H18" s="176"/>
      <c r="I18" s="150"/>
    </row>
    <row r="19" spans="2:9" ht="16.8" thickTop="1" thickBot="1" x14ac:dyDescent="0.35">
      <c r="B19" s="3"/>
      <c r="C19" s="3"/>
      <c r="D19" s="3"/>
      <c r="E19" s="419"/>
      <c r="H19" s="176" t="s">
        <v>1428</v>
      </c>
      <c r="I19" s="424">
        <f>I15-I17</f>
        <v>85067.5</v>
      </c>
    </row>
    <row r="20" spans="2:9" ht="16.2" thickTop="1" x14ac:dyDescent="0.3"/>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election activeCell="C9" sqref="C9"/>
    </sheetView>
  </sheetViews>
  <sheetFormatPr defaultColWidth="9.109375" defaultRowHeight="15.6" x14ac:dyDescent="0.3"/>
  <cols>
    <col min="1" max="2" width="9.109375" style="142"/>
    <col min="3" max="3" width="65.44140625" style="142" customWidth="1"/>
    <col min="4" max="16384" width="9.109375" style="142"/>
  </cols>
  <sheetData>
    <row r="1" spans="1:5" ht="23.4" x14ac:dyDescent="0.45">
      <c r="A1" s="33" t="s">
        <v>1581</v>
      </c>
      <c r="E1" s="634" t="s">
        <v>3016</v>
      </c>
    </row>
    <row r="5" spans="1:5" x14ac:dyDescent="0.3">
      <c r="C5" s="142" t="s">
        <v>1579</v>
      </c>
    </row>
    <row r="6" spans="1:5" x14ac:dyDescent="0.3">
      <c r="C6" s="142" t="s">
        <v>1580</v>
      </c>
    </row>
    <row r="9" spans="1:5" x14ac:dyDescent="0.3">
      <c r="C9" s="174" t="str">
        <f>TRIM(C5)</f>
        <v>Mickey Mouse $45,000 344-55-3221 Orlando, Florida</v>
      </c>
    </row>
    <row r="10" spans="1:5" x14ac:dyDescent="0.3">
      <c r="C10" s="174" t="str">
        <f>TRIM(C6)</f>
        <v>Goofy, $56,000 222-33-8877 Orlando, Florida</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election activeCell="D3" sqref="D3"/>
    </sheetView>
  </sheetViews>
  <sheetFormatPr defaultColWidth="9.109375" defaultRowHeight="15.6" x14ac:dyDescent="0.3"/>
  <cols>
    <col min="1" max="1" width="9.109375" style="142"/>
    <col min="2" max="2" width="33.5546875" style="142" customWidth="1"/>
    <col min="3" max="3" width="9.109375" style="142"/>
    <col min="4" max="4" width="32.88671875" style="142" customWidth="1"/>
    <col min="5" max="16384" width="9.109375" style="142"/>
  </cols>
  <sheetData>
    <row r="1" spans="1:9" ht="23.4" x14ac:dyDescent="0.45">
      <c r="A1" s="33" t="s">
        <v>1582</v>
      </c>
      <c r="I1" s="634" t="s">
        <v>3016</v>
      </c>
    </row>
    <row r="3" spans="1:9" x14ac:dyDescent="0.3">
      <c r="B3" s="412" t="s">
        <v>575</v>
      </c>
      <c r="D3" s="142" t="str">
        <f>PROPER(B3)</f>
        <v>Automobile Expense</v>
      </c>
    </row>
    <row r="4" spans="1:9" x14ac:dyDescent="0.3">
      <c r="B4" s="412" t="s">
        <v>576</v>
      </c>
      <c r="D4" s="142" t="str">
        <f t="shared" ref="D4:D34" si="0">PROPER(B4)</f>
        <v>Bank Service Charges</v>
      </c>
    </row>
    <row r="5" spans="1:9" x14ac:dyDescent="0.3">
      <c r="B5" s="412" t="s">
        <v>577</v>
      </c>
      <c r="D5" s="142" t="str">
        <f t="shared" si="0"/>
        <v>Conference Registration Fees</v>
      </c>
    </row>
    <row r="6" spans="1:9" x14ac:dyDescent="0.3">
      <c r="B6" s="412" t="s">
        <v>578</v>
      </c>
      <c r="D6" s="142" t="str">
        <f t="shared" si="0"/>
        <v>Contract Labor</v>
      </c>
    </row>
    <row r="7" spans="1:9" x14ac:dyDescent="0.3">
      <c r="B7" s="412" t="s">
        <v>579</v>
      </c>
      <c r="D7" s="142" t="str">
        <f t="shared" si="0"/>
        <v>Contributions</v>
      </c>
    </row>
    <row r="8" spans="1:9" x14ac:dyDescent="0.3">
      <c r="B8" s="412" t="s">
        <v>580</v>
      </c>
      <c r="D8" s="142" t="str">
        <f t="shared" si="0"/>
        <v>Dues And Subscriptions</v>
      </c>
    </row>
    <row r="9" spans="1:9" x14ac:dyDescent="0.3">
      <c r="B9" s="412" t="s">
        <v>581</v>
      </c>
      <c r="D9" s="142" t="str">
        <f t="shared" si="0"/>
        <v>Equipment Purchase</v>
      </c>
    </row>
    <row r="10" spans="1:9" x14ac:dyDescent="0.3">
      <c r="B10" s="412" t="s">
        <v>582</v>
      </c>
      <c r="D10" s="142" t="str">
        <f t="shared" si="0"/>
        <v>Equipment Rental</v>
      </c>
    </row>
    <row r="11" spans="1:9" x14ac:dyDescent="0.3">
      <c r="B11" s="412" t="s">
        <v>583</v>
      </c>
      <c r="D11" s="142" t="str">
        <f t="shared" si="0"/>
        <v>Hardware Purchase</v>
      </c>
    </row>
    <row r="12" spans="1:9" x14ac:dyDescent="0.3">
      <c r="B12" s="412" t="s">
        <v>584</v>
      </c>
      <c r="D12" s="142" t="str">
        <f t="shared" si="0"/>
        <v>Insurance</v>
      </c>
    </row>
    <row r="13" spans="1:9" x14ac:dyDescent="0.3">
      <c r="B13" s="412" t="s">
        <v>585</v>
      </c>
      <c r="D13" s="142" t="str">
        <f t="shared" si="0"/>
        <v>Marketing Giveaways</v>
      </c>
    </row>
    <row r="14" spans="1:9" x14ac:dyDescent="0.3">
      <c r="B14" s="412" t="s">
        <v>586</v>
      </c>
      <c r="D14" s="142" t="str">
        <f t="shared" si="0"/>
        <v>Memberships</v>
      </c>
    </row>
    <row r="15" spans="1:9" x14ac:dyDescent="0.3">
      <c r="B15" s="412" t="s">
        <v>587</v>
      </c>
      <c r="D15" s="142" t="str">
        <f t="shared" si="0"/>
        <v>Miscellaneous</v>
      </c>
    </row>
    <row r="16" spans="1:9" x14ac:dyDescent="0.3">
      <c r="B16" s="412" t="s">
        <v>588</v>
      </c>
      <c r="D16" s="142" t="str">
        <f t="shared" si="0"/>
        <v>Office Supplies</v>
      </c>
    </row>
    <row r="17" spans="2:4" x14ac:dyDescent="0.3">
      <c r="B17" s="412" t="s">
        <v>589</v>
      </c>
      <c r="D17" s="142" t="str">
        <f t="shared" si="0"/>
        <v>Online Computer Services</v>
      </c>
    </row>
    <row r="18" spans="2:4" x14ac:dyDescent="0.3">
      <c r="B18" s="412" t="s">
        <v>590</v>
      </c>
      <c r="D18" s="142" t="str">
        <f t="shared" si="0"/>
        <v>Outside Services</v>
      </c>
    </row>
    <row r="19" spans="2:4" x14ac:dyDescent="0.3">
      <c r="B19" s="412" t="s">
        <v>591</v>
      </c>
      <c r="D19" s="142" t="str">
        <f t="shared" si="0"/>
        <v>Partner Salary Draw</v>
      </c>
    </row>
    <row r="20" spans="2:4" x14ac:dyDescent="0.3">
      <c r="B20" s="412" t="s">
        <v>592</v>
      </c>
      <c r="D20" s="142" t="str">
        <f t="shared" si="0"/>
        <v>Payroll Expenses</v>
      </c>
    </row>
    <row r="21" spans="2:4" x14ac:dyDescent="0.3">
      <c r="B21" s="412" t="s">
        <v>711</v>
      </c>
      <c r="D21" s="142" t="str">
        <f t="shared" si="0"/>
        <v>Postage And Delivery</v>
      </c>
    </row>
    <row r="22" spans="2:4" x14ac:dyDescent="0.3">
      <c r="B22" s="412" t="s">
        <v>712</v>
      </c>
      <c r="D22" s="142" t="str">
        <f t="shared" si="0"/>
        <v>Printing And Reproduction</v>
      </c>
    </row>
    <row r="23" spans="2:4" x14ac:dyDescent="0.3">
      <c r="B23" s="412" t="s">
        <v>713</v>
      </c>
      <c r="D23" s="142" t="str">
        <f t="shared" si="0"/>
        <v>Purchase - The Accounting Libra</v>
      </c>
    </row>
    <row r="24" spans="2:4" x14ac:dyDescent="0.3">
      <c r="B24" s="412" t="s">
        <v>714</v>
      </c>
      <c r="D24" s="142" t="str">
        <f t="shared" si="0"/>
        <v>Purchases Tal- Web Store Report</v>
      </c>
    </row>
    <row r="25" spans="2:4" x14ac:dyDescent="0.3">
      <c r="B25" s="412" t="s">
        <v>715</v>
      </c>
      <c r="D25" s="142" t="str">
        <f t="shared" si="0"/>
        <v>Rent</v>
      </c>
    </row>
    <row r="26" spans="2:4" x14ac:dyDescent="0.3">
      <c r="B26" s="412" t="s">
        <v>716</v>
      </c>
      <c r="D26" s="142" t="str">
        <f t="shared" si="0"/>
        <v>Repairs</v>
      </c>
    </row>
    <row r="27" spans="2:4" x14ac:dyDescent="0.3">
      <c r="B27" s="412" t="s">
        <v>717</v>
      </c>
      <c r="D27" s="142" t="str">
        <f t="shared" si="0"/>
        <v>Software Purchase</v>
      </c>
    </row>
    <row r="28" spans="2:4" x14ac:dyDescent="0.3">
      <c r="B28" s="412" t="s">
        <v>718</v>
      </c>
      <c r="D28" s="142" t="str">
        <f t="shared" si="0"/>
        <v>Ssi-Misc</v>
      </c>
    </row>
    <row r="29" spans="2:4" x14ac:dyDescent="0.3">
      <c r="B29" s="412" t="s">
        <v>719</v>
      </c>
      <c r="D29" s="142" t="str">
        <f t="shared" si="0"/>
        <v>Taxes</v>
      </c>
    </row>
    <row r="30" spans="2:4" x14ac:dyDescent="0.3">
      <c r="B30" s="413" t="s">
        <v>720</v>
      </c>
      <c r="D30" s="142" t="str">
        <f t="shared" si="0"/>
        <v>Federal</v>
      </c>
    </row>
    <row r="31" spans="2:4" x14ac:dyDescent="0.3">
      <c r="B31" s="413" t="s">
        <v>721</v>
      </c>
      <c r="D31" s="142" t="str">
        <f t="shared" si="0"/>
        <v>State</v>
      </c>
    </row>
    <row r="32" spans="2:4" x14ac:dyDescent="0.3">
      <c r="B32" s="412" t="s">
        <v>722</v>
      </c>
      <c r="D32" s="142" t="str">
        <f t="shared" si="0"/>
        <v>Total Taxes</v>
      </c>
    </row>
    <row r="33" spans="2:4" x14ac:dyDescent="0.3">
      <c r="B33" s="323" t="s">
        <v>723</v>
      </c>
      <c r="D33" s="142" t="str">
        <f t="shared" si="0"/>
        <v/>
      </c>
    </row>
    <row r="34" spans="2:4" x14ac:dyDescent="0.3">
      <c r="B34" s="323" t="s">
        <v>724</v>
      </c>
      <c r="D34" s="142" t="str">
        <f t="shared" si="0"/>
        <v>Total Expenses</v>
      </c>
    </row>
  </sheetData>
  <conditionalFormatting sqref="B4:B34">
    <cfRule type="expression" dxfId="9" priority="2" stopIfTrue="1">
      <formula>"istext(b3:i34)"</formula>
    </cfRule>
  </conditionalFormatting>
  <conditionalFormatting sqref="B3">
    <cfRule type="expression" dxfId="8" priority="1" stopIfTrue="1">
      <formula>"istext(b3)"</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election activeCell="B12" sqref="B12"/>
    </sheetView>
  </sheetViews>
  <sheetFormatPr defaultColWidth="9.109375" defaultRowHeight="17.25" customHeight="1" x14ac:dyDescent="0.3"/>
  <cols>
    <col min="1" max="1" width="9.109375" style="142"/>
    <col min="2" max="2" width="78" style="142" customWidth="1"/>
    <col min="3" max="16384" width="9.109375" style="142"/>
  </cols>
  <sheetData>
    <row r="1" spans="1:5" ht="25.5" customHeight="1" x14ac:dyDescent="0.45">
      <c r="A1" s="33" t="s">
        <v>1583</v>
      </c>
      <c r="E1" s="634" t="s">
        <v>3016</v>
      </c>
    </row>
    <row r="3" spans="1:5" ht="17.25" customHeight="1" x14ac:dyDescent="0.3">
      <c r="B3" s="405" t="s">
        <v>1584</v>
      </c>
    </row>
    <row r="4" spans="1:5" ht="17.25" customHeight="1" x14ac:dyDescent="0.3">
      <c r="B4" s="406" t="s">
        <v>1585</v>
      </c>
    </row>
    <row r="5" spans="1:5" ht="17.25" customHeight="1" x14ac:dyDescent="0.3">
      <c r="B5" s="407" t="s">
        <v>1586</v>
      </c>
    </row>
    <row r="6" spans="1:5" ht="17.25" customHeight="1" x14ac:dyDescent="0.3">
      <c r="B6" s="407" t="s">
        <v>1587</v>
      </c>
    </row>
    <row r="7" spans="1:5" ht="17.25" customHeight="1" x14ac:dyDescent="0.3">
      <c r="B7" s="408" t="s">
        <v>1588</v>
      </c>
    </row>
    <row r="8" spans="1:5" ht="17.25" customHeight="1" x14ac:dyDescent="0.3">
      <c r="B8" s="408" t="s">
        <v>1589</v>
      </c>
    </row>
    <row r="9" spans="1:5" ht="17.25" customHeight="1" x14ac:dyDescent="0.3">
      <c r="B9" s="408" t="s">
        <v>1590</v>
      </c>
    </row>
    <row r="10" spans="1:5" ht="17.25" customHeight="1" x14ac:dyDescent="0.3">
      <c r="B10" s="409" t="s">
        <v>1591</v>
      </c>
    </row>
    <row r="11" spans="1:5" ht="17.25" customHeight="1" x14ac:dyDescent="0.3">
      <c r="B11" s="410"/>
    </row>
    <row r="12" spans="1:5" ht="17.25" customHeight="1" x14ac:dyDescent="0.3">
      <c r="B12" s="411" t="str">
        <f>LOWER(B3)</f>
        <v>we the people of the united states</v>
      </c>
    </row>
    <row r="13" spans="1:5" ht="17.25" customHeight="1" x14ac:dyDescent="0.3">
      <c r="B13" s="408" t="str">
        <f t="shared" ref="B13:B19" si="0">LOWER(B4)</f>
        <v>in order to form a more perfect union</v>
      </c>
    </row>
    <row r="14" spans="1:5" ht="17.25" customHeight="1" x14ac:dyDescent="0.3">
      <c r="B14" s="408" t="str">
        <f t="shared" si="0"/>
        <v>establish justice</v>
      </c>
    </row>
    <row r="15" spans="1:5" ht="17.25" customHeight="1" x14ac:dyDescent="0.3">
      <c r="B15" s="408" t="str">
        <f t="shared" si="0"/>
        <v>insure domestic tranquility</v>
      </c>
    </row>
    <row r="16" spans="1:5" ht="17.25" customHeight="1" x14ac:dyDescent="0.3">
      <c r="B16" s="408" t="str">
        <f t="shared" si="0"/>
        <v>provide for the common defense</v>
      </c>
    </row>
    <row r="17" spans="2:2" ht="17.25" customHeight="1" x14ac:dyDescent="0.3">
      <c r="B17" s="408" t="str">
        <f t="shared" si="0"/>
        <v>promote the general welfare</v>
      </c>
    </row>
    <row r="18" spans="2:2" ht="17.25" customHeight="1" x14ac:dyDescent="0.3">
      <c r="B18" s="408" t="str">
        <f t="shared" si="0"/>
        <v>and secure the blessings of liberty to ourselves and our posterity</v>
      </c>
    </row>
    <row r="19" spans="2:2" ht="17.25" customHeight="1" x14ac:dyDescent="0.3">
      <c r="B19" s="409" t="str">
        <f t="shared" si="0"/>
        <v xml:space="preserve">do ordain and establish this constitution for the united states of america.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26"/>
  <sheetViews>
    <sheetView showGridLines="0" zoomScaleNormal="100" workbookViewId="0">
      <selection activeCell="L10" sqref="L10:L18"/>
    </sheetView>
  </sheetViews>
  <sheetFormatPr defaultColWidth="9.109375" defaultRowHeight="13.5" customHeight="1" x14ac:dyDescent="0.3"/>
  <cols>
    <col min="1" max="1" width="3.109375" style="642" customWidth="1"/>
    <col min="2" max="2" width="20.5546875" style="642" customWidth="1"/>
    <col min="3" max="3" width="20.88671875" style="642" customWidth="1"/>
    <col min="4" max="4" width="9.109375" style="642"/>
    <col min="5" max="5" width="6.5546875" style="642" customWidth="1"/>
    <col min="6" max="6" width="25.88671875" style="642" customWidth="1"/>
    <col min="7" max="7" width="3.5546875" style="642" customWidth="1"/>
    <col min="8" max="8" width="25.88671875" style="642" customWidth="1"/>
    <col min="9" max="9" width="3.5546875" style="642" customWidth="1"/>
    <col min="10" max="10" width="25.88671875" style="642" customWidth="1"/>
    <col min="11" max="11" width="3.5546875" style="642" customWidth="1"/>
    <col min="12" max="12" width="25.88671875" style="643" customWidth="1"/>
    <col min="13" max="16" width="9.109375" style="642"/>
    <col min="17" max="17" width="25.109375" style="642" customWidth="1"/>
    <col min="18" max="16384" width="9.109375" style="642"/>
  </cols>
  <sheetData>
    <row r="2" spans="2:17" ht="13.5" customHeight="1" x14ac:dyDescent="0.3">
      <c r="B2" s="642" t="s">
        <v>3005</v>
      </c>
      <c r="E2" s="642" t="s">
        <v>2992</v>
      </c>
    </row>
    <row r="4" spans="2:17" ht="13.5" customHeight="1" x14ac:dyDescent="0.3">
      <c r="B4" s="1" t="s">
        <v>2054</v>
      </c>
      <c r="C4" s="1"/>
      <c r="E4" s="663"/>
      <c r="F4" s="664" t="s">
        <v>2993</v>
      </c>
      <c r="G4" s="663"/>
      <c r="H4" s="664" t="s">
        <v>3001</v>
      </c>
      <c r="I4" s="663"/>
      <c r="J4" s="664" t="s">
        <v>3000</v>
      </c>
      <c r="K4" s="663"/>
      <c r="L4" s="664" t="s">
        <v>2994</v>
      </c>
    </row>
    <row r="5" spans="2:17" ht="13.5" customHeight="1" x14ac:dyDescent="0.3">
      <c r="B5" s="660"/>
      <c r="C5" s="660"/>
      <c r="E5" s="663"/>
      <c r="F5" s="664"/>
      <c r="G5" s="663"/>
      <c r="H5" s="664"/>
      <c r="I5" s="663"/>
      <c r="J5" s="664"/>
      <c r="K5" s="663"/>
      <c r="L5" s="664"/>
    </row>
    <row r="7" spans="2:17" ht="13.5" customHeight="1" x14ac:dyDescent="0.3">
      <c r="E7" s="642">
        <v>1</v>
      </c>
      <c r="F7" s="653" t="s">
        <v>2055</v>
      </c>
      <c r="G7" s="642">
        <v>1</v>
      </c>
      <c r="H7" s="643" t="s">
        <v>251</v>
      </c>
      <c r="I7" s="642">
        <v>1</v>
      </c>
      <c r="J7" s="642" t="s">
        <v>2637</v>
      </c>
      <c r="K7" s="642">
        <v>1</v>
      </c>
      <c r="L7" s="643" t="s">
        <v>2299</v>
      </c>
      <c r="O7" s="643"/>
    </row>
    <row r="8" spans="2:17" ht="13.5" customHeight="1" x14ac:dyDescent="0.3">
      <c r="B8" s="642" t="s">
        <v>2095</v>
      </c>
      <c r="C8" s="642" t="s">
        <v>2096</v>
      </c>
      <c r="E8" s="642">
        <v>2</v>
      </c>
      <c r="F8" s="653" t="s">
        <v>2056</v>
      </c>
      <c r="G8" s="642">
        <v>2</v>
      </c>
      <c r="H8" s="643" t="s">
        <v>372</v>
      </c>
      <c r="I8" s="642">
        <v>2</v>
      </c>
      <c r="J8" s="642" t="s">
        <v>2704</v>
      </c>
      <c r="K8" s="642">
        <v>2</v>
      </c>
      <c r="L8" s="643" t="s">
        <v>2301</v>
      </c>
      <c r="O8" s="643"/>
    </row>
    <row r="9" spans="2:17" ht="13.5" customHeight="1" x14ac:dyDescent="0.3">
      <c r="B9" s="642" t="s">
        <v>2097</v>
      </c>
      <c r="C9" s="642">
        <v>299</v>
      </c>
      <c r="E9" s="642">
        <v>3</v>
      </c>
      <c r="F9" s="653" t="s">
        <v>2057</v>
      </c>
      <c r="G9" s="642">
        <v>3</v>
      </c>
      <c r="H9" s="643" t="s">
        <v>370</v>
      </c>
      <c r="I9" s="642">
        <v>3</v>
      </c>
      <c r="J9" s="642" t="s">
        <v>2705</v>
      </c>
      <c r="K9" s="642">
        <v>3</v>
      </c>
      <c r="L9" s="643" t="s">
        <v>2304</v>
      </c>
      <c r="O9" s="643"/>
    </row>
    <row r="10" spans="2:17" ht="13.5" customHeight="1" x14ac:dyDescent="0.3">
      <c r="B10" s="642" t="s">
        <v>2094</v>
      </c>
      <c r="C10" s="642">
        <v>40</v>
      </c>
      <c r="E10" s="642">
        <v>4</v>
      </c>
      <c r="F10" s="653" t="s">
        <v>2058</v>
      </c>
      <c r="G10" s="642">
        <v>4</v>
      </c>
      <c r="H10" s="643" t="s">
        <v>375</v>
      </c>
      <c r="I10" s="642">
        <v>4</v>
      </c>
      <c r="J10" s="642" t="s">
        <v>2706</v>
      </c>
      <c r="K10" s="642">
        <v>4</v>
      </c>
      <c r="L10" s="643" t="s">
        <v>2311</v>
      </c>
      <c r="O10" s="643"/>
    </row>
    <row r="11" spans="2:17" ht="13.5" customHeight="1" x14ac:dyDescent="0.3">
      <c r="B11" s="642" t="s">
        <v>2050</v>
      </c>
      <c r="C11" s="642">
        <v>0</v>
      </c>
      <c r="E11" s="642">
        <v>5</v>
      </c>
      <c r="F11" s="653" t="s">
        <v>2059</v>
      </c>
      <c r="G11" s="642">
        <v>5</v>
      </c>
      <c r="H11" s="643" t="s">
        <v>368</v>
      </c>
      <c r="I11" s="642">
        <v>5</v>
      </c>
      <c r="J11" s="642" t="s">
        <v>2708</v>
      </c>
      <c r="K11" s="642">
        <v>5</v>
      </c>
      <c r="L11" s="643" t="s">
        <v>2383</v>
      </c>
      <c r="O11" s="643"/>
    </row>
    <row r="12" spans="2:17" ht="13.5" customHeight="1" x14ac:dyDescent="0.3">
      <c r="B12" s="642" t="s">
        <v>2051</v>
      </c>
      <c r="C12" s="642">
        <v>5</v>
      </c>
      <c r="E12" s="642">
        <v>6</v>
      </c>
      <c r="F12" s="653" t="s">
        <v>2060</v>
      </c>
      <c r="G12" s="642">
        <v>6</v>
      </c>
      <c r="H12" s="642" t="s">
        <v>511</v>
      </c>
      <c r="I12" s="642">
        <v>6</v>
      </c>
      <c r="J12" s="642" t="s">
        <v>2647</v>
      </c>
      <c r="K12" s="642">
        <v>6</v>
      </c>
      <c r="L12" s="643" t="s">
        <v>2159</v>
      </c>
    </row>
    <row r="13" spans="2:17" ht="13.5" customHeight="1" x14ac:dyDescent="0.3">
      <c r="B13" s="642" t="s">
        <v>2052</v>
      </c>
      <c r="C13" s="642">
        <v>61</v>
      </c>
      <c r="E13" s="642">
        <v>7</v>
      </c>
      <c r="F13" s="653" t="s">
        <v>2061</v>
      </c>
      <c r="H13" s="642" t="s">
        <v>3003</v>
      </c>
      <c r="I13" s="642">
        <v>7</v>
      </c>
      <c r="J13" s="642" t="s">
        <v>2709</v>
      </c>
      <c r="K13" s="642">
        <v>7</v>
      </c>
      <c r="L13" s="643" t="s">
        <v>2161</v>
      </c>
    </row>
    <row r="14" spans="2:17" ht="13.5" customHeight="1" x14ac:dyDescent="0.3">
      <c r="B14" s="642" t="s">
        <v>2053</v>
      </c>
      <c r="C14" s="642">
        <v>50</v>
      </c>
      <c r="E14" s="642">
        <v>8</v>
      </c>
      <c r="F14" s="653" t="s">
        <v>2062</v>
      </c>
      <c r="H14" s="642" t="s">
        <v>3004</v>
      </c>
      <c r="I14" s="642">
        <v>8</v>
      </c>
      <c r="J14" s="642" t="s">
        <v>2711</v>
      </c>
      <c r="K14" s="642">
        <v>8</v>
      </c>
      <c r="L14" s="643" t="s">
        <v>2163</v>
      </c>
      <c r="Q14" s="661"/>
    </row>
    <row r="15" spans="2:17" ht="13.5" customHeight="1" thickBot="1" x14ac:dyDescent="0.35">
      <c r="B15" s="642" t="s">
        <v>1029</v>
      </c>
      <c r="C15" s="651">
        <f>SUM(C9:C14)</f>
        <v>455</v>
      </c>
      <c r="E15" s="642">
        <v>9</v>
      </c>
      <c r="F15" s="653" t="s">
        <v>2063</v>
      </c>
      <c r="I15" s="642">
        <v>9</v>
      </c>
      <c r="J15" s="642" t="s">
        <v>2712</v>
      </c>
      <c r="K15" s="642">
        <v>9</v>
      </c>
      <c r="L15" s="643" t="s">
        <v>2165</v>
      </c>
      <c r="Q15" s="662" t="s">
        <v>3002</v>
      </c>
    </row>
    <row r="16" spans="2:17" ht="13.5" customHeight="1" thickTop="1" x14ac:dyDescent="0.3">
      <c r="E16" s="642">
        <v>10</v>
      </c>
      <c r="F16" s="653" t="s">
        <v>2064</v>
      </c>
      <c r="I16" s="642">
        <v>10</v>
      </c>
      <c r="J16" s="642" t="s">
        <v>2713</v>
      </c>
      <c r="K16" s="642">
        <v>10</v>
      </c>
      <c r="L16" s="643" t="s">
        <v>2167</v>
      </c>
    </row>
    <row r="17" spans="5:12" ht="13.5" customHeight="1" x14ac:dyDescent="0.3">
      <c r="E17" s="642">
        <v>11</v>
      </c>
      <c r="F17" s="653" t="s">
        <v>2065</v>
      </c>
      <c r="I17" s="642">
        <v>11</v>
      </c>
      <c r="J17" s="642" t="s">
        <v>2714</v>
      </c>
      <c r="K17" s="642">
        <v>11</v>
      </c>
      <c r="L17" s="643" t="s">
        <v>2314</v>
      </c>
    </row>
    <row r="18" spans="5:12" ht="13.5" customHeight="1" x14ac:dyDescent="0.3">
      <c r="E18" s="642">
        <v>12</v>
      </c>
      <c r="F18" s="653" t="s">
        <v>2066</v>
      </c>
      <c r="I18" s="642">
        <v>12</v>
      </c>
      <c r="J18" s="642" t="s">
        <v>2715</v>
      </c>
      <c r="K18" s="642">
        <v>12</v>
      </c>
      <c r="L18" s="643" t="s">
        <v>2318</v>
      </c>
    </row>
    <row r="19" spans="5:12" ht="13.5" customHeight="1" x14ac:dyDescent="0.3">
      <c r="E19" s="642">
        <v>13</v>
      </c>
      <c r="F19" s="653" t="s">
        <v>2067</v>
      </c>
      <c r="I19" s="642">
        <v>13</v>
      </c>
      <c r="J19" s="642" t="s">
        <v>2716</v>
      </c>
      <c r="K19" s="642">
        <v>13</v>
      </c>
      <c r="L19" s="643" t="s">
        <v>2322</v>
      </c>
    </row>
    <row r="20" spans="5:12" ht="13.5" customHeight="1" x14ac:dyDescent="0.3">
      <c r="E20" s="642">
        <v>14</v>
      </c>
      <c r="F20" s="653" t="s">
        <v>2068</v>
      </c>
      <c r="I20" s="642">
        <v>14</v>
      </c>
      <c r="J20" s="642" t="s">
        <v>2718</v>
      </c>
      <c r="K20" s="642">
        <v>14</v>
      </c>
      <c r="L20" s="643" t="s">
        <v>2324</v>
      </c>
    </row>
    <row r="21" spans="5:12" ht="13.5" customHeight="1" x14ac:dyDescent="0.3">
      <c r="E21" s="642">
        <v>15</v>
      </c>
      <c r="F21" s="653" t="s">
        <v>2069</v>
      </c>
      <c r="I21" s="642">
        <v>15</v>
      </c>
      <c r="J21" s="642" t="s">
        <v>2719</v>
      </c>
      <c r="K21" s="642">
        <v>15</v>
      </c>
      <c r="L21" s="643" t="s">
        <v>2326</v>
      </c>
    </row>
    <row r="22" spans="5:12" ht="13.5" customHeight="1" x14ac:dyDescent="0.3">
      <c r="E22" s="642">
        <v>16</v>
      </c>
      <c r="F22" s="653" t="s">
        <v>2070</v>
      </c>
      <c r="I22" s="642">
        <v>16</v>
      </c>
      <c r="J22" s="642" t="s">
        <v>2518</v>
      </c>
      <c r="K22" s="642">
        <v>16</v>
      </c>
      <c r="L22" s="643" t="s">
        <v>2328</v>
      </c>
    </row>
    <row r="23" spans="5:12" ht="13.5" customHeight="1" x14ac:dyDescent="0.3">
      <c r="E23" s="642">
        <v>17</v>
      </c>
      <c r="F23" s="653" t="s">
        <v>2071</v>
      </c>
      <c r="I23" s="642">
        <v>17</v>
      </c>
      <c r="J23" s="642" t="s">
        <v>2521</v>
      </c>
      <c r="K23" s="642">
        <v>17</v>
      </c>
      <c r="L23" s="643" t="s">
        <v>2143</v>
      </c>
    </row>
    <row r="24" spans="5:12" ht="13.5" customHeight="1" x14ac:dyDescent="0.3">
      <c r="E24" s="642">
        <v>18</v>
      </c>
      <c r="F24" s="653" t="s">
        <v>2072</v>
      </c>
      <c r="I24" s="642">
        <v>18</v>
      </c>
      <c r="J24" s="642" t="s">
        <v>2721</v>
      </c>
      <c r="K24" s="642">
        <v>18</v>
      </c>
      <c r="L24" s="643" t="s">
        <v>2330</v>
      </c>
    </row>
    <row r="25" spans="5:12" ht="13.5" customHeight="1" x14ac:dyDescent="0.3">
      <c r="E25" s="642">
        <v>19</v>
      </c>
      <c r="F25" s="653" t="s">
        <v>2073</v>
      </c>
      <c r="I25" s="642">
        <v>19</v>
      </c>
      <c r="J25" s="642" t="s">
        <v>2722</v>
      </c>
      <c r="K25" s="642">
        <v>19</v>
      </c>
      <c r="L25" s="643" t="s">
        <v>2455</v>
      </c>
    </row>
    <row r="26" spans="5:12" ht="13.5" customHeight="1" x14ac:dyDescent="0.3">
      <c r="E26" s="642">
        <v>20</v>
      </c>
      <c r="F26" s="653" t="s">
        <v>2074</v>
      </c>
      <c r="I26" s="642">
        <v>20</v>
      </c>
      <c r="J26" s="642" t="s">
        <v>2723</v>
      </c>
      <c r="K26" s="642">
        <v>20</v>
      </c>
      <c r="L26" s="643" t="s">
        <v>2457</v>
      </c>
    </row>
    <row r="27" spans="5:12" ht="13.5" customHeight="1" x14ac:dyDescent="0.3">
      <c r="E27" s="642">
        <v>21</v>
      </c>
      <c r="F27" s="653" t="s">
        <v>2075</v>
      </c>
      <c r="I27" s="642">
        <v>21</v>
      </c>
      <c r="J27" s="642" t="s">
        <v>2724</v>
      </c>
      <c r="K27" s="642">
        <v>21</v>
      </c>
      <c r="L27" s="643" t="s">
        <v>2336</v>
      </c>
    </row>
    <row r="28" spans="5:12" ht="13.5" customHeight="1" x14ac:dyDescent="0.3">
      <c r="E28" s="642">
        <v>22</v>
      </c>
      <c r="F28" s="653" t="s">
        <v>2076</v>
      </c>
      <c r="I28" s="642">
        <v>22</v>
      </c>
      <c r="J28" s="642" t="s">
        <v>2725</v>
      </c>
      <c r="K28" s="642">
        <v>22</v>
      </c>
      <c r="L28" s="643" t="s">
        <v>2287</v>
      </c>
    </row>
    <row r="29" spans="5:12" ht="13.5" customHeight="1" x14ac:dyDescent="0.3">
      <c r="E29" s="642">
        <v>23</v>
      </c>
      <c r="F29" s="653" t="s">
        <v>2077</v>
      </c>
      <c r="I29" s="642">
        <v>23</v>
      </c>
      <c r="J29" s="642" t="s">
        <v>2726</v>
      </c>
      <c r="K29" s="642">
        <v>23</v>
      </c>
      <c r="L29" s="643" t="s">
        <v>2395</v>
      </c>
    </row>
    <row r="30" spans="5:12" ht="13.5" customHeight="1" x14ac:dyDescent="0.3">
      <c r="E30" s="642">
        <v>24</v>
      </c>
      <c r="F30" s="653" t="s">
        <v>2078</v>
      </c>
      <c r="I30" s="642">
        <v>24</v>
      </c>
      <c r="J30" s="642" t="s">
        <v>2664</v>
      </c>
      <c r="K30" s="642">
        <v>24</v>
      </c>
      <c r="L30" s="643" t="s">
        <v>2396</v>
      </c>
    </row>
    <row r="31" spans="5:12" ht="13.5" customHeight="1" x14ac:dyDescent="0.3">
      <c r="E31" s="642">
        <v>25</v>
      </c>
      <c r="F31" s="653" t="s">
        <v>2079</v>
      </c>
      <c r="I31" s="642">
        <v>25</v>
      </c>
      <c r="J31" s="642" t="s">
        <v>2732</v>
      </c>
      <c r="K31" s="642">
        <v>25</v>
      </c>
      <c r="L31" s="643" t="s">
        <v>2279</v>
      </c>
    </row>
    <row r="32" spans="5:12" ht="13.5" customHeight="1" x14ac:dyDescent="0.3">
      <c r="E32" s="642">
        <v>26</v>
      </c>
      <c r="F32" s="653" t="s">
        <v>509</v>
      </c>
      <c r="I32" s="642">
        <v>26</v>
      </c>
      <c r="J32" s="642" t="s">
        <v>2733</v>
      </c>
      <c r="K32" s="642">
        <v>26</v>
      </c>
      <c r="L32" s="643" t="s">
        <v>2184</v>
      </c>
    </row>
    <row r="33" spans="5:12" ht="13.5" customHeight="1" x14ac:dyDescent="0.3">
      <c r="E33" s="642">
        <v>27</v>
      </c>
      <c r="F33" s="653" t="s">
        <v>2080</v>
      </c>
      <c r="I33" s="642">
        <v>27</v>
      </c>
      <c r="J33" s="642" t="s">
        <v>2736</v>
      </c>
      <c r="K33" s="642">
        <v>27</v>
      </c>
      <c r="L33" s="643" t="s">
        <v>2186</v>
      </c>
    </row>
    <row r="34" spans="5:12" ht="13.5" customHeight="1" x14ac:dyDescent="0.3">
      <c r="E34" s="642">
        <v>28</v>
      </c>
      <c r="F34" s="653" t="s">
        <v>2081</v>
      </c>
      <c r="I34" s="642">
        <v>28</v>
      </c>
      <c r="J34" s="642" t="s">
        <v>2740</v>
      </c>
      <c r="K34" s="642">
        <v>28</v>
      </c>
      <c r="L34" s="643" t="s">
        <v>2188</v>
      </c>
    </row>
    <row r="35" spans="5:12" ht="13.5" customHeight="1" x14ac:dyDescent="0.3">
      <c r="E35" s="642">
        <v>29</v>
      </c>
      <c r="F35" s="653" t="s">
        <v>2082</v>
      </c>
      <c r="I35" s="642">
        <v>29</v>
      </c>
      <c r="J35" s="642" t="s">
        <v>2667</v>
      </c>
      <c r="K35" s="642">
        <v>29</v>
      </c>
      <c r="L35" s="643" t="s">
        <v>2190</v>
      </c>
    </row>
    <row r="36" spans="5:12" ht="13.5" customHeight="1" x14ac:dyDescent="0.3">
      <c r="E36" s="642">
        <v>30</v>
      </c>
      <c r="F36" s="653" t="s">
        <v>2083</v>
      </c>
      <c r="I36" s="642">
        <v>30</v>
      </c>
      <c r="J36" s="642" t="s">
        <v>2743</v>
      </c>
      <c r="K36" s="642">
        <v>30</v>
      </c>
      <c r="L36" s="643" t="s">
        <v>2200</v>
      </c>
    </row>
    <row r="37" spans="5:12" ht="13.5" customHeight="1" x14ac:dyDescent="0.3">
      <c r="E37" s="642">
        <v>31</v>
      </c>
      <c r="F37" s="653" t="s">
        <v>2084</v>
      </c>
      <c r="I37" s="642">
        <v>31</v>
      </c>
      <c r="J37" s="642" t="s">
        <v>2744</v>
      </c>
      <c r="K37" s="642">
        <v>31</v>
      </c>
      <c r="L37" s="643" t="s">
        <v>2202</v>
      </c>
    </row>
    <row r="38" spans="5:12" ht="13.5" customHeight="1" x14ac:dyDescent="0.3">
      <c r="E38" s="642">
        <v>32</v>
      </c>
      <c r="F38" s="653" t="s">
        <v>2085</v>
      </c>
      <c r="I38" s="642">
        <v>32</v>
      </c>
      <c r="J38" s="642" t="s">
        <v>2748</v>
      </c>
      <c r="K38" s="642">
        <v>32</v>
      </c>
      <c r="L38" s="643" t="s">
        <v>2205</v>
      </c>
    </row>
    <row r="39" spans="5:12" ht="13.5" customHeight="1" x14ac:dyDescent="0.3">
      <c r="E39" s="642">
        <v>33</v>
      </c>
      <c r="F39" s="653" t="s">
        <v>2086</v>
      </c>
      <c r="I39" s="642">
        <v>33</v>
      </c>
      <c r="J39" s="642" t="s">
        <v>2749</v>
      </c>
      <c r="K39" s="642">
        <v>33</v>
      </c>
      <c r="L39" s="643" t="s">
        <v>2210</v>
      </c>
    </row>
    <row r="40" spans="5:12" ht="13.5" customHeight="1" x14ac:dyDescent="0.3">
      <c r="E40" s="642">
        <v>34</v>
      </c>
      <c r="F40" s="653" t="s">
        <v>2087</v>
      </c>
      <c r="I40" s="642">
        <v>34</v>
      </c>
      <c r="J40" s="642" t="s">
        <v>2750</v>
      </c>
      <c r="K40" s="642">
        <v>34</v>
      </c>
      <c r="L40" s="643" t="s">
        <v>2266</v>
      </c>
    </row>
    <row r="41" spans="5:12" ht="13.5" customHeight="1" x14ac:dyDescent="0.3">
      <c r="E41" s="642">
        <v>35</v>
      </c>
      <c r="F41" s="653" t="s">
        <v>2088</v>
      </c>
      <c r="I41" s="642">
        <v>35</v>
      </c>
      <c r="J41" s="642" t="s">
        <v>2995</v>
      </c>
      <c r="K41" s="642">
        <v>35</v>
      </c>
      <c r="L41" s="643" t="s">
        <v>2146</v>
      </c>
    </row>
    <row r="42" spans="5:12" ht="13.5" customHeight="1" x14ac:dyDescent="0.3">
      <c r="E42" s="642">
        <v>36</v>
      </c>
      <c r="F42" s="653" t="s">
        <v>2089</v>
      </c>
      <c r="I42" s="642">
        <v>36</v>
      </c>
      <c r="J42" s="642" t="s">
        <v>2751</v>
      </c>
      <c r="K42" s="642">
        <v>36</v>
      </c>
      <c r="L42" s="643" t="s">
        <v>2352</v>
      </c>
    </row>
    <row r="43" spans="5:12" ht="13.5" customHeight="1" x14ac:dyDescent="0.3">
      <c r="E43" s="642">
        <v>37</v>
      </c>
      <c r="F43" s="653" t="s">
        <v>2090</v>
      </c>
      <c r="I43" s="642">
        <v>37</v>
      </c>
      <c r="J43" s="642" t="s">
        <v>2752</v>
      </c>
      <c r="K43" s="642">
        <v>37</v>
      </c>
      <c r="L43" s="643" t="s">
        <v>2443</v>
      </c>
    </row>
    <row r="44" spans="5:12" ht="13.5" customHeight="1" x14ac:dyDescent="0.3">
      <c r="E44" s="642">
        <v>38</v>
      </c>
      <c r="F44" s="653" t="s">
        <v>2091</v>
      </c>
      <c r="I44" s="642">
        <v>38</v>
      </c>
      <c r="J44" s="642" t="s">
        <v>2753</v>
      </c>
      <c r="K44" s="642">
        <v>38</v>
      </c>
      <c r="L44" s="643" t="s">
        <v>2246</v>
      </c>
    </row>
    <row r="45" spans="5:12" ht="13.5" customHeight="1" x14ac:dyDescent="0.3">
      <c r="E45" s="642">
        <v>39</v>
      </c>
      <c r="F45" s="653" t="s">
        <v>2092</v>
      </c>
      <c r="I45" s="642">
        <v>39</v>
      </c>
      <c r="J45" s="642" t="s">
        <v>2996</v>
      </c>
      <c r="K45" s="642">
        <v>39</v>
      </c>
      <c r="L45" s="643" t="s">
        <v>2415</v>
      </c>
    </row>
    <row r="46" spans="5:12" ht="13.5" customHeight="1" x14ac:dyDescent="0.3">
      <c r="E46" s="642">
        <v>40</v>
      </c>
      <c r="F46" s="642" t="s">
        <v>2093</v>
      </c>
      <c r="I46" s="642">
        <v>40</v>
      </c>
      <c r="J46" s="642" t="s">
        <v>2755</v>
      </c>
      <c r="K46" s="642">
        <v>40</v>
      </c>
      <c r="L46" s="643" t="s">
        <v>2417</v>
      </c>
    </row>
    <row r="47" spans="5:12" ht="13.5" customHeight="1" x14ac:dyDescent="0.3">
      <c r="I47" s="642">
        <v>41</v>
      </c>
      <c r="J47" s="642" t="s">
        <v>2756</v>
      </c>
      <c r="K47" s="642">
        <v>41</v>
      </c>
      <c r="L47" s="643" t="s">
        <v>2254</v>
      </c>
    </row>
    <row r="48" spans="5:12" ht="13.5" customHeight="1" x14ac:dyDescent="0.3">
      <c r="I48" s="642">
        <v>42</v>
      </c>
      <c r="J48" s="642" t="s">
        <v>2757</v>
      </c>
      <c r="K48" s="642">
        <v>42</v>
      </c>
      <c r="L48" s="643" t="s">
        <v>2361</v>
      </c>
    </row>
    <row r="49" spans="9:12" ht="13.5" customHeight="1" x14ac:dyDescent="0.3">
      <c r="I49" s="642">
        <v>43</v>
      </c>
      <c r="J49" s="642" t="s">
        <v>2758</v>
      </c>
      <c r="K49" s="642">
        <v>43</v>
      </c>
      <c r="L49" s="643" t="s">
        <v>2363</v>
      </c>
    </row>
    <row r="50" spans="9:12" ht="13.5" customHeight="1" x14ac:dyDescent="0.3">
      <c r="I50" s="642">
        <v>44</v>
      </c>
      <c r="J50" s="642" t="s">
        <v>2997</v>
      </c>
      <c r="K50" s="642">
        <v>44</v>
      </c>
      <c r="L50" s="643" t="s">
        <v>2273</v>
      </c>
    </row>
    <row r="51" spans="9:12" ht="13.5" customHeight="1" x14ac:dyDescent="0.3">
      <c r="I51" s="642">
        <v>45</v>
      </c>
      <c r="J51" s="642" t="s">
        <v>2765</v>
      </c>
      <c r="K51" s="642">
        <v>45</v>
      </c>
      <c r="L51" s="643" t="s">
        <v>2275</v>
      </c>
    </row>
    <row r="52" spans="9:12" ht="13.5" customHeight="1" x14ac:dyDescent="0.3">
      <c r="I52" s="642">
        <v>46</v>
      </c>
      <c r="J52" s="642" t="s">
        <v>2766</v>
      </c>
      <c r="K52" s="642">
        <v>46</v>
      </c>
      <c r="L52" s="643" t="s">
        <v>2422</v>
      </c>
    </row>
    <row r="53" spans="9:12" ht="13.5" customHeight="1" x14ac:dyDescent="0.3">
      <c r="I53" s="642">
        <v>47</v>
      </c>
      <c r="J53" s="642" t="s">
        <v>2767</v>
      </c>
      <c r="K53" s="642">
        <v>47</v>
      </c>
      <c r="L53" s="643" t="s">
        <v>2447</v>
      </c>
    </row>
    <row r="54" spans="9:12" ht="13.5" customHeight="1" x14ac:dyDescent="0.3">
      <c r="I54" s="642">
        <v>48</v>
      </c>
      <c r="J54" s="642" t="s">
        <v>2998</v>
      </c>
      <c r="K54" s="642">
        <v>48</v>
      </c>
      <c r="L54" s="643" t="s">
        <v>2449</v>
      </c>
    </row>
    <row r="55" spans="9:12" ht="13.5" customHeight="1" x14ac:dyDescent="0.3">
      <c r="I55" s="642">
        <v>49</v>
      </c>
      <c r="J55" s="642" t="s">
        <v>2773</v>
      </c>
      <c r="K55" s="642">
        <v>49</v>
      </c>
      <c r="L55" s="643" t="s">
        <v>2459</v>
      </c>
    </row>
    <row r="56" spans="9:12" ht="13.5" customHeight="1" x14ac:dyDescent="0.3">
      <c r="I56" s="642">
        <v>50</v>
      </c>
      <c r="J56" s="642" t="s">
        <v>2774</v>
      </c>
      <c r="K56" s="642">
        <v>50</v>
      </c>
      <c r="L56" s="643" t="s">
        <v>2281</v>
      </c>
    </row>
    <row r="57" spans="9:12" ht="13.5" customHeight="1" x14ac:dyDescent="0.3">
      <c r="I57" s="642">
        <v>51</v>
      </c>
      <c r="J57" s="642" t="s">
        <v>2999</v>
      </c>
      <c r="L57" s="653"/>
    </row>
    <row r="58" spans="9:12" ht="13.5" customHeight="1" x14ac:dyDescent="0.3">
      <c r="I58" s="642">
        <v>52</v>
      </c>
      <c r="J58" s="642" t="s">
        <v>2776</v>
      </c>
    </row>
    <row r="59" spans="9:12" ht="13.5" customHeight="1" x14ac:dyDescent="0.3">
      <c r="I59" s="642">
        <v>53</v>
      </c>
      <c r="J59" s="642" t="s">
        <v>2777</v>
      </c>
    </row>
    <row r="60" spans="9:12" ht="13.5" customHeight="1" x14ac:dyDescent="0.3">
      <c r="I60" s="642">
        <v>54</v>
      </c>
      <c r="J60" s="642" t="s">
        <v>2778</v>
      </c>
    </row>
    <row r="61" spans="9:12" ht="13.5" customHeight="1" x14ac:dyDescent="0.3">
      <c r="I61" s="642">
        <v>55</v>
      </c>
      <c r="J61" s="642" t="s">
        <v>2780</v>
      </c>
    </row>
    <row r="62" spans="9:12" ht="13.5" customHeight="1" x14ac:dyDescent="0.3">
      <c r="I62" s="642">
        <v>56</v>
      </c>
      <c r="J62" s="642" t="s">
        <v>2781</v>
      </c>
    </row>
    <row r="63" spans="9:12" ht="13.5" customHeight="1" x14ac:dyDescent="0.3">
      <c r="I63" s="642">
        <v>57</v>
      </c>
      <c r="J63" s="642" t="s">
        <v>2783</v>
      </c>
    </row>
    <row r="64" spans="9:12" ht="13.5" customHeight="1" x14ac:dyDescent="0.3">
      <c r="I64" s="642">
        <v>58</v>
      </c>
      <c r="J64" s="642" t="s">
        <v>2784</v>
      </c>
    </row>
    <row r="65" spans="9:18" ht="13.5" customHeight="1" x14ac:dyDescent="0.3">
      <c r="I65" s="642">
        <v>59</v>
      </c>
      <c r="J65" s="642" t="s">
        <v>2785</v>
      </c>
    </row>
    <row r="66" spans="9:18" ht="13.5" customHeight="1" x14ac:dyDescent="0.3">
      <c r="I66" s="642">
        <v>60</v>
      </c>
      <c r="J66" s="642" t="s">
        <v>2491</v>
      </c>
      <c r="R66" s="658"/>
    </row>
    <row r="67" spans="9:18" ht="13.5" customHeight="1" x14ac:dyDescent="0.3">
      <c r="I67" s="642">
        <v>61</v>
      </c>
      <c r="J67" s="642" t="s">
        <v>2786</v>
      </c>
      <c r="R67" s="659"/>
    </row>
    <row r="68" spans="9:18" ht="13.5" customHeight="1" x14ac:dyDescent="0.3">
      <c r="R68" s="659"/>
    </row>
    <row r="69" spans="9:18" ht="13.5" customHeight="1" x14ac:dyDescent="0.3">
      <c r="R69" s="659"/>
    </row>
    <row r="70" spans="9:18" ht="13.5" customHeight="1" x14ac:dyDescent="0.3">
      <c r="R70" s="659"/>
    </row>
    <row r="71" spans="9:18" ht="13.5" customHeight="1" x14ac:dyDescent="0.3">
      <c r="R71" s="659"/>
    </row>
    <row r="72" spans="9:18" ht="13.5" customHeight="1" x14ac:dyDescent="0.3">
      <c r="R72" s="659"/>
    </row>
    <row r="73" spans="9:18" ht="13.5" customHeight="1" x14ac:dyDescent="0.3">
      <c r="R73" s="659"/>
    </row>
    <row r="74" spans="9:18" ht="13.5" customHeight="1" x14ac:dyDescent="0.3">
      <c r="R74" s="659"/>
    </row>
    <row r="75" spans="9:18" ht="13.5" customHeight="1" x14ac:dyDescent="0.3">
      <c r="R75" s="659"/>
    </row>
    <row r="76" spans="9:18" ht="13.5" customHeight="1" x14ac:dyDescent="0.3">
      <c r="R76" s="659"/>
    </row>
    <row r="77" spans="9:18" ht="13.5" customHeight="1" x14ac:dyDescent="0.3">
      <c r="R77" s="659"/>
    </row>
    <row r="78" spans="9:18" ht="13.5" customHeight="1" x14ac:dyDescent="0.3">
      <c r="R78" s="659"/>
    </row>
    <row r="79" spans="9:18" ht="13.5" customHeight="1" x14ac:dyDescent="0.3">
      <c r="R79" s="659"/>
    </row>
    <row r="80" spans="9:18" ht="13.5" customHeight="1" x14ac:dyDescent="0.3">
      <c r="R80" s="659"/>
    </row>
    <row r="81" spans="18:18" ht="13.5" customHeight="1" x14ac:dyDescent="0.3">
      <c r="R81" s="659"/>
    </row>
    <row r="82" spans="18:18" ht="13.5" customHeight="1" x14ac:dyDescent="0.3">
      <c r="R82" s="659"/>
    </row>
    <row r="83" spans="18:18" ht="13.5" customHeight="1" x14ac:dyDescent="0.3">
      <c r="R83" s="659"/>
    </row>
    <row r="84" spans="18:18" ht="13.5" customHeight="1" x14ac:dyDescent="0.3">
      <c r="R84" s="659"/>
    </row>
    <row r="85" spans="18:18" ht="13.5" customHeight="1" x14ac:dyDescent="0.3">
      <c r="R85" s="659"/>
    </row>
    <row r="86" spans="18:18" ht="13.5" customHeight="1" x14ac:dyDescent="0.3">
      <c r="R86" s="659"/>
    </row>
    <row r="87" spans="18:18" ht="13.5" customHeight="1" x14ac:dyDescent="0.3">
      <c r="R87" s="659"/>
    </row>
    <row r="88" spans="18:18" ht="13.5" customHeight="1" x14ac:dyDescent="0.3">
      <c r="R88" s="659"/>
    </row>
    <row r="89" spans="18:18" ht="13.5" customHeight="1" x14ac:dyDescent="0.3">
      <c r="R89" s="659"/>
    </row>
    <row r="90" spans="18:18" ht="13.5" customHeight="1" x14ac:dyDescent="0.3">
      <c r="R90" s="659"/>
    </row>
    <row r="91" spans="18:18" ht="13.5" customHeight="1" x14ac:dyDescent="0.3">
      <c r="R91" s="659"/>
    </row>
    <row r="92" spans="18:18" ht="13.5" customHeight="1" x14ac:dyDescent="0.3">
      <c r="R92" s="659"/>
    </row>
    <row r="93" spans="18:18" ht="13.5" customHeight="1" x14ac:dyDescent="0.3">
      <c r="R93" s="659"/>
    </row>
    <row r="94" spans="18:18" ht="13.5" customHeight="1" x14ac:dyDescent="0.3">
      <c r="R94" s="659"/>
    </row>
    <row r="95" spans="18:18" ht="13.5" customHeight="1" x14ac:dyDescent="0.3">
      <c r="R95" s="659"/>
    </row>
    <row r="96" spans="18:18" ht="13.5" customHeight="1" x14ac:dyDescent="0.3">
      <c r="R96" s="659"/>
    </row>
    <row r="97" spans="18:18" ht="13.5" customHeight="1" x14ac:dyDescent="0.3">
      <c r="R97" s="659"/>
    </row>
    <row r="98" spans="18:18" ht="13.5" customHeight="1" x14ac:dyDescent="0.3">
      <c r="R98" s="659"/>
    </row>
    <row r="99" spans="18:18" ht="13.5" customHeight="1" x14ac:dyDescent="0.3">
      <c r="R99" s="659"/>
    </row>
    <row r="100" spans="18:18" ht="13.5" customHeight="1" x14ac:dyDescent="0.3">
      <c r="R100" s="659"/>
    </row>
    <row r="101" spans="18:18" ht="13.5" customHeight="1" x14ac:dyDescent="0.3">
      <c r="R101" s="659"/>
    </row>
    <row r="102" spans="18:18" ht="13.5" customHeight="1" x14ac:dyDescent="0.3">
      <c r="R102" s="659"/>
    </row>
    <row r="103" spans="18:18" ht="13.5" customHeight="1" x14ac:dyDescent="0.3">
      <c r="R103" s="659"/>
    </row>
    <row r="104" spans="18:18" ht="13.5" customHeight="1" x14ac:dyDescent="0.3">
      <c r="R104" s="659"/>
    </row>
    <row r="105" spans="18:18" ht="13.5" customHeight="1" x14ac:dyDescent="0.3">
      <c r="R105" s="659"/>
    </row>
    <row r="106" spans="18:18" ht="13.5" customHeight="1" x14ac:dyDescent="0.3">
      <c r="R106" s="659"/>
    </row>
    <row r="107" spans="18:18" ht="13.5" customHeight="1" x14ac:dyDescent="0.3">
      <c r="R107" s="659"/>
    </row>
    <row r="108" spans="18:18" ht="13.5" customHeight="1" x14ac:dyDescent="0.3">
      <c r="R108" s="659"/>
    </row>
    <row r="109" spans="18:18" ht="13.5" customHeight="1" x14ac:dyDescent="0.3">
      <c r="R109" s="659"/>
    </row>
    <row r="110" spans="18:18" ht="13.5" customHeight="1" x14ac:dyDescent="0.3">
      <c r="R110" s="659"/>
    </row>
    <row r="111" spans="18:18" ht="13.5" customHeight="1" x14ac:dyDescent="0.3">
      <c r="R111" s="659"/>
    </row>
    <row r="112" spans="18:18" ht="13.5" customHeight="1" x14ac:dyDescent="0.3">
      <c r="R112" s="659"/>
    </row>
    <row r="113" spans="18:18" ht="13.5" customHeight="1" x14ac:dyDescent="0.3">
      <c r="R113" s="659"/>
    </row>
    <row r="114" spans="18:18" ht="13.5" customHeight="1" x14ac:dyDescent="0.3">
      <c r="R114" s="659"/>
    </row>
    <row r="115" spans="18:18" ht="13.5" customHeight="1" x14ac:dyDescent="0.3">
      <c r="R115" s="659"/>
    </row>
    <row r="116" spans="18:18" ht="13.5" customHeight="1" x14ac:dyDescent="0.3">
      <c r="R116" s="659"/>
    </row>
    <row r="117" spans="18:18" ht="13.5" customHeight="1" x14ac:dyDescent="0.3">
      <c r="R117" s="659"/>
    </row>
    <row r="118" spans="18:18" ht="13.5" customHeight="1" x14ac:dyDescent="0.3">
      <c r="R118" s="659"/>
    </row>
    <row r="119" spans="18:18" ht="13.5" customHeight="1" x14ac:dyDescent="0.3">
      <c r="R119" s="659"/>
    </row>
    <row r="120" spans="18:18" ht="13.5" customHeight="1" x14ac:dyDescent="0.3">
      <c r="R120" s="659"/>
    </row>
    <row r="121" spans="18:18" ht="13.5" customHeight="1" x14ac:dyDescent="0.3">
      <c r="R121" s="659"/>
    </row>
    <row r="122" spans="18:18" ht="13.5" customHeight="1" x14ac:dyDescent="0.3">
      <c r="R122" s="659"/>
    </row>
    <row r="123" spans="18:18" ht="13.5" customHeight="1" x14ac:dyDescent="0.3">
      <c r="R123" s="659"/>
    </row>
    <row r="124" spans="18:18" ht="13.5" customHeight="1" x14ac:dyDescent="0.3">
      <c r="R124" s="659"/>
    </row>
    <row r="125" spans="18:18" ht="13.5" customHeight="1" x14ac:dyDescent="0.3">
      <c r="R125" s="659"/>
    </row>
    <row r="126" spans="18:18" ht="13.5" customHeight="1" x14ac:dyDescent="0.3">
      <c r="R126" s="659"/>
    </row>
  </sheetData>
  <sortState ref="O7:O11">
    <sortCondition ref="O7"/>
  </sortState>
  <mergeCells count="1">
    <mergeCell ref="B4:C4"/>
  </mergeCells>
  <pageMargins left="0.7" right="0.7" top="0.75" bottom="0.75" header="0.3" footer="0.3"/>
  <pageSetup orientation="portrait" horizontalDpi="200" verticalDpi="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election activeCell="F6" sqref="F6"/>
    </sheetView>
  </sheetViews>
  <sheetFormatPr defaultColWidth="9.109375" defaultRowHeight="15.6" x14ac:dyDescent="0.3"/>
  <cols>
    <col min="1" max="1" width="9.109375" style="142"/>
    <col min="2" max="2" width="22.6640625" style="142" bestFit="1" customWidth="1"/>
    <col min="3" max="3" width="26.6640625" style="142" bestFit="1" customWidth="1"/>
    <col min="4" max="4" width="30.33203125" style="142" bestFit="1" customWidth="1"/>
    <col min="5" max="5" width="9.109375" style="142"/>
    <col min="6" max="6" width="35.44140625" style="142" customWidth="1"/>
    <col min="7" max="16384" width="9.109375" style="142"/>
  </cols>
  <sheetData>
    <row r="1" spans="1:7" ht="23.4" x14ac:dyDescent="0.45">
      <c r="A1" s="33" t="s">
        <v>1729</v>
      </c>
      <c r="G1" s="634" t="s">
        <v>3016</v>
      </c>
    </row>
    <row r="5" spans="1:7" ht="16.2" thickBot="1" x14ac:dyDescent="0.35">
      <c r="B5" s="372" t="s">
        <v>177</v>
      </c>
      <c r="C5" s="372" t="s">
        <v>182</v>
      </c>
      <c r="D5" s="372" t="s">
        <v>1686</v>
      </c>
      <c r="F5" s="396" t="s">
        <v>566</v>
      </c>
    </row>
    <row r="6" spans="1:7" x14ac:dyDescent="0.3">
      <c r="B6" s="265" t="s">
        <v>727</v>
      </c>
      <c r="C6" s="265" t="s">
        <v>728</v>
      </c>
      <c r="D6" s="265" t="s">
        <v>729</v>
      </c>
      <c r="F6" s="174" t="str">
        <f>UPPER(D6)</f>
        <v>ST. SIMONS ISLAND, GA 31522</v>
      </c>
    </row>
    <row r="7" spans="1:7" x14ac:dyDescent="0.3">
      <c r="B7" s="265" t="s">
        <v>731</v>
      </c>
      <c r="C7" s="265" t="s">
        <v>732</v>
      </c>
      <c r="D7" s="373" t="s">
        <v>1730</v>
      </c>
      <c r="F7" s="174" t="str">
        <f t="shared" ref="F7:F21" si="0">UPPER(D7)</f>
        <v>MILLEDGEVILLE, GA 66532</v>
      </c>
    </row>
    <row r="8" spans="1:7" x14ac:dyDescent="0.3">
      <c r="B8" s="265" t="s">
        <v>736</v>
      </c>
      <c r="C8" s="265" t="s">
        <v>913</v>
      </c>
      <c r="D8" s="265" t="s">
        <v>914</v>
      </c>
      <c r="F8" s="174" t="str">
        <f t="shared" si="0"/>
        <v>SAINT SIMONS ISLAND, GA  31522</v>
      </c>
    </row>
    <row r="9" spans="1:7" x14ac:dyDescent="0.3">
      <c r="B9" s="265" t="s">
        <v>737</v>
      </c>
      <c r="C9" s="265" t="s">
        <v>918</v>
      </c>
      <c r="D9" s="266" t="s">
        <v>919</v>
      </c>
      <c r="F9" s="174" t="str">
        <f t="shared" si="0"/>
        <v>NASHVILLE, TN 37216</v>
      </c>
    </row>
    <row r="10" spans="1:7" x14ac:dyDescent="0.3">
      <c r="B10" s="265" t="s">
        <v>738</v>
      </c>
      <c r="C10" s="265" t="s">
        <v>921</v>
      </c>
      <c r="D10" s="265" t="s">
        <v>850</v>
      </c>
      <c r="F10" s="174" t="str">
        <f t="shared" si="0"/>
        <v>BRUNSWICK, GA  31525</v>
      </c>
    </row>
    <row r="11" spans="1:7" x14ac:dyDescent="0.3">
      <c r="B11" s="265" t="s">
        <v>739</v>
      </c>
      <c r="C11" s="265" t="s">
        <v>924</v>
      </c>
      <c r="D11" s="265" t="s">
        <v>925</v>
      </c>
      <c r="F11" s="174" t="str">
        <f t="shared" si="0"/>
        <v>JACKSON, GA  30233</v>
      </c>
    </row>
    <row r="12" spans="1:7" x14ac:dyDescent="0.3">
      <c r="B12" s="265" t="s">
        <v>740</v>
      </c>
      <c r="C12" s="265" t="s">
        <v>928</v>
      </c>
      <c r="D12" s="265" t="s">
        <v>754</v>
      </c>
      <c r="F12" s="174" t="str">
        <f t="shared" si="0"/>
        <v>BRUNSWICK, GA  31520</v>
      </c>
    </row>
    <row r="13" spans="1:7" x14ac:dyDescent="0.3">
      <c r="B13" s="265" t="s">
        <v>741</v>
      </c>
      <c r="C13" s="265" t="s">
        <v>742</v>
      </c>
      <c r="D13" s="265" t="s">
        <v>743</v>
      </c>
      <c r="F13" s="174" t="str">
        <f t="shared" si="0"/>
        <v>DECATUR, GA 30034</v>
      </c>
    </row>
    <row r="14" spans="1:7" x14ac:dyDescent="0.3">
      <c r="B14" s="265" t="s">
        <v>746</v>
      </c>
      <c r="C14" s="265" t="s">
        <v>747</v>
      </c>
      <c r="D14" s="266" t="s">
        <v>748</v>
      </c>
      <c r="F14" s="174" t="str">
        <f t="shared" si="0"/>
        <v>WINSTON-SALEM, NC 27127</v>
      </c>
    </row>
    <row r="15" spans="1:7" x14ac:dyDescent="0.3">
      <c r="B15" s="265" t="s">
        <v>751</v>
      </c>
      <c r="C15" s="265" t="s">
        <v>1691</v>
      </c>
      <c r="D15" s="373" t="s">
        <v>1692</v>
      </c>
      <c r="F15" s="174" t="str">
        <f t="shared" si="0"/>
        <v>MANOR PLACE, TX 23443</v>
      </c>
    </row>
    <row r="16" spans="1:7" x14ac:dyDescent="0.3">
      <c r="B16" s="265" t="s">
        <v>752</v>
      </c>
      <c r="C16" s="265" t="s">
        <v>753</v>
      </c>
      <c r="D16" s="265" t="s">
        <v>754</v>
      </c>
      <c r="F16" s="174" t="str">
        <f t="shared" si="0"/>
        <v>BRUNSWICK, GA  31520</v>
      </c>
    </row>
    <row r="17" spans="2:6" x14ac:dyDescent="0.3">
      <c r="B17" s="265" t="s">
        <v>756</v>
      </c>
      <c r="C17" s="265" t="s">
        <v>1689</v>
      </c>
      <c r="D17" s="373" t="s">
        <v>1690</v>
      </c>
      <c r="F17" s="174" t="str">
        <f t="shared" si="0"/>
        <v>TEMPLETON, NB 54443</v>
      </c>
    </row>
    <row r="18" spans="2:6" x14ac:dyDescent="0.3">
      <c r="B18" s="266" t="s">
        <v>757</v>
      </c>
      <c r="C18" s="265" t="s">
        <v>1688</v>
      </c>
      <c r="D18" s="265" t="s">
        <v>758</v>
      </c>
      <c r="F18" s="174" t="str">
        <f t="shared" si="0"/>
        <v>JACKSONVILLE, FL  32223</v>
      </c>
    </row>
    <row r="19" spans="2:6" x14ac:dyDescent="0.3">
      <c r="B19" s="265" t="s">
        <v>760</v>
      </c>
      <c r="C19" s="265" t="s">
        <v>761</v>
      </c>
      <c r="D19" s="265" t="s">
        <v>754</v>
      </c>
      <c r="F19" s="174" t="str">
        <f t="shared" si="0"/>
        <v>BRUNSWICK, GA  31520</v>
      </c>
    </row>
    <row r="20" spans="2:6" x14ac:dyDescent="0.3">
      <c r="B20" s="265" t="s">
        <v>763</v>
      </c>
      <c r="C20" s="265" t="s">
        <v>764</v>
      </c>
      <c r="D20" s="265" t="s">
        <v>765</v>
      </c>
      <c r="F20" s="174" t="str">
        <f t="shared" si="0"/>
        <v>HINESVILLE, GA 31313</v>
      </c>
    </row>
    <row r="21" spans="2:6" x14ac:dyDescent="0.3">
      <c r="B21" s="265" t="s">
        <v>768</v>
      </c>
      <c r="C21" s="265" t="s">
        <v>769</v>
      </c>
      <c r="D21" s="265" t="s">
        <v>770</v>
      </c>
      <c r="F21" s="174" t="str">
        <f t="shared" si="0"/>
        <v>ST. SIMONS ISLAND,  GA  31522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showGridLines="0" zoomScale="80" zoomScaleNormal="80" workbookViewId="0">
      <selection activeCell="L22" sqref="L22"/>
    </sheetView>
  </sheetViews>
  <sheetFormatPr defaultColWidth="9.109375" defaultRowHeight="15.6" x14ac:dyDescent="0.3"/>
  <cols>
    <col min="1" max="1" width="9.109375" style="142"/>
    <col min="2" max="2" width="25.109375" style="142" customWidth="1"/>
    <col min="3" max="3" width="39.109375" style="142" customWidth="1"/>
    <col min="4" max="5" width="12.5546875" style="242" customWidth="1"/>
    <col min="6" max="6" width="13.88671875" style="142" bestFit="1" customWidth="1"/>
    <col min="7" max="7" width="13.109375" style="242" customWidth="1"/>
    <col min="8" max="16384" width="9.109375" style="142"/>
  </cols>
  <sheetData>
    <row r="1" spans="1:8" ht="23.4" x14ac:dyDescent="0.45">
      <c r="A1" s="33" t="s">
        <v>1592</v>
      </c>
      <c r="H1" s="634" t="s">
        <v>3016</v>
      </c>
    </row>
    <row r="4" spans="1:8" ht="21" x14ac:dyDescent="0.4">
      <c r="B4" s="721" t="s">
        <v>1593</v>
      </c>
      <c r="C4" s="721"/>
      <c r="D4" s="721"/>
      <c r="E4" s="721"/>
      <c r="F4" s="721"/>
    </row>
    <row r="6" spans="1:8" s="397" customFormat="1" ht="31.8" thickBot="1" x14ac:dyDescent="0.35">
      <c r="B6" s="254" t="s">
        <v>1606</v>
      </c>
      <c r="C6" s="253" t="s">
        <v>100</v>
      </c>
      <c r="D6" s="253" t="s">
        <v>1607</v>
      </c>
      <c r="E6" s="253" t="s">
        <v>1608</v>
      </c>
      <c r="F6" s="254" t="s">
        <v>1609</v>
      </c>
      <c r="G6" s="253" t="s">
        <v>3025</v>
      </c>
    </row>
    <row r="7" spans="1:8" x14ac:dyDescent="0.3">
      <c r="B7" s="175" t="s">
        <v>1613</v>
      </c>
      <c r="C7" s="398" t="s">
        <v>1597</v>
      </c>
      <c r="D7" s="399">
        <v>84</v>
      </c>
      <c r="E7" s="400">
        <v>20</v>
      </c>
      <c r="F7" s="401">
        <v>3995</v>
      </c>
      <c r="G7" s="242" t="str">
        <f>LEFT(B7,7)</f>
        <v>SD07457</v>
      </c>
    </row>
    <row r="8" spans="1:8" x14ac:dyDescent="0.3">
      <c r="B8" s="175" t="s">
        <v>1625</v>
      </c>
      <c r="C8" s="398" t="s">
        <v>1597</v>
      </c>
      <c r="D8" s="399">
        <v>24</v>
      </c>
      <c r="E8" s="400">
        <v>20</v>
      </c>
      <c r="F8" s="401">
        <v>3995</v>
      </c>
      <c r="G8" s="242" t="str">
        <f t="shared" ref="G8:G54" si="0">LEFT(B8,7)</f>
        <v>SD07457</v>
      </c>
    </row>
    <row r="9" spans="1:8" ht="17.25" customHeight="1" x14ac:dyDescent="0.3">
      <c r="B9" s="175" t="s">
        <v>1637</v>
      </c>
      <c r="C9" s="398" t="s">
        <v>1597</v>
      </c>
      <c r="D9" s="399">
        <v>38</v>
      </c>
      <c r="E9" s="400">
        <v>20</v>
      </c>
      <c r="F9" s="401">
        <v>3995</v>
      </c>
      <c r="G9" s="242" t="str">
        <f t="shared" si="0"/>
        <v>SD07457</v>
      </c>
    </row>
    <row r="10" spans="1:8" ht="17.25" customHeight="1" x14ac:dyDescent="0.3">
      <c r="B10" s="175" t="s">
        <v>1649</v>
      </c>
      <c r="C10" s="398" t="s">
        <v>1597</v>
      </c>
      <c r="D10" s="399">
        <v>24</v>
      </c>
      <c r="E10" s="400">
        <v>20</v>
      </c>
      <c r="F10" s="401">
        <v>3995</v>
      </c>
      <c r="G10" s="242" t="str">
        <f t="shared" si="0"/>
        <v>SD07457</v>
      </c>
    </row>
    <row r="11" spans="1:8" ht="17.25" customHeight="1" x14ac:dyDescent="0.3">
      <c r="B11" s="175" t="s">
        <v>1611</v>
      </c>
      <c r="C11" s="398" t="s">
        <v>1595</v>
      </c>
      <c r="D11" s="399">
        <v>66</v>
      </c>
      <c r="E11" s="400">
        <v>24</v>
      </c>
      <c r="F11" s="401">
        <v>132.99</v>
      </c>
      <c r="G11" s="242" t="str">
        <f t="shared" si="0"/>
        <v>NJ98658</v>
      </c>
    </row>
    <row r="12" spans="1:8" ht="17.25" customHeight="1" x14ac:dyDescent="0.3">
      <c r="B12" s="175" t="s">
        <v>1623</v>
      </c>
      <c r="C12" s="398" t="s">
        <v>1595</v>
      </c>
      <c r="D12" s="399">
        <v>42</v>
      </c>
      <c r="E12" s="400">
        <v>24</v>
      </c>
      <c r="F12" s="401">
        <v>132.99</v>
      </c>
      <c r="G12" s="242" t="str">
        <f t="shared" si="0"/>
        <v>NJ98658</v>
      </c>
    </row>
    <row r="13" spans="1:8" x14ac:dyDescent="0.3">
      <c r="B13" s="175" t="s">
        <v>1635</v>
      </c>
      <c r="C13" s="398" t="s">
        <v>1595</v>
      </c>
      <c r="D13" s="399">
        <v>42</v>
      </c>
      <c r="E13" s="400">
        <v>24</v>
      </c>
      <c r="F13" s="401">
        <v>132.99</v>
      </c>
      <c r="G13" s="242" t="str">
        <f t="shared" si="0"/>
        <v>NJ98658</v>
      </c>
    </row>
    <row r="14" spans="1:8" x14ac:dyDescent="0.3">
      <c r="B14" s="175" t="s">
        <v>1647</v>
      </c>
      <c r="C14" s="398" t="s">
        <v>1595</v>
      </c>
      <c r="D14" s="399">
        <v>62</v>
      </c>
      <c r="E14" s="400">
        <v>24</v>
      </c>
      <c r="F14" s="401">
        <v>132.99</v>
      </c>
      <c r="G14" s="242" t="str">
        <f t="shared" si="0"/>
        <v>NJ98658</v>
      </c>
    </row>
    <row r="15" spans="1:8" x14ac:dyDescent="0.3">
      <c r="B15" s="175" t="s">
        <v>1617</v>
      </c>
      <c r="C15" s="398" t="s">
        <v>1601</v>
      </c>
      <c r="D15" s="399">
        <v>466</v>
      </c>
      <c r="E15" s="400">
        <v>125</v>
      </c>
      <c r="F15" s="401">
        <v>21.99</v>
      </c>
      <c r="G15" s="242" t="str">
        <f t="shared" si="0"/>
        <v>CF87587</v>
      </c>
    </row>
    <row r="16" spans="1:8" x14ac:dyDescent="0.3">
      <c r="B16" s="175" t="s">
        <v>1629</v>
      </c>
      <c r="C16" s="398" t="s">
        <v>1601</v>
      </c>
      <c r="D16" s="399">
        <v>212</v>
      </c>
      <c r="E16" s="400">
        <v>125</v>
      </c>
      <c r="F16" s="401">
        <v>21.99</v>
      </c>
      <c r="G16" s="242" t="str">
        <f t="shared" si="0"/>
        <v>CF87587</v>
      </c>
    </row>
    <row r="17" spans="2:7" x14ac:dyDescent="0.3">
      <c r="B17" s="175" t="s">
        <v>1641</v>
      </c>
      <c r="C17" s="398" t="s">
        <v>1601</v>
      </c>
      <c r="D17" s="399">
        <v>76</v>
      </c>
      <c r="E17" s="400">
        <v>125</v>
      </c>
      <c r="F17" s="401">
        <v>21.99</v>
      </c>
      <c r="G17" s="242" t="str">
        <f t="shared" si="0"/>
        <v>CF87587</v>
      </c>
    </row>
    <row r="18" spans="2:7" x14ac:dyDescent="0.3">
      <c r="B18" s="175" t="s">
        <v>1653</v>
      </c>
      <c r="C18" s="398" t="s">
        <v>1601</v>
      </c>
      <c r="D18" s="399">
        <v>20</v>
      </c>
      <c r="E18" s="400">
        <v>125</v>
      </c>
      <c r="F18" s="401">
        <v>21.99</v>
      </c>
      <c r="G18" s="242" t="str">
        <f t="shared" si="0"/>
        <v>CF87587</v>
      </c>
    </row>
    <row r="19" spans="2:7" x14ac:dyDescent="0.3">
      <c r="B19" s="175" t="s">
        <v>1618</v>
      </c>
      <c r="C19" s="398" t="s">
        <v>1602</v>
      </c>
      <c r="D19" s="399">
        <v>84</v>
      </c>
      <c r="E19" s="400">
        <v>15</v>
      </c>
      <c r="F19" s="401">
        <v>1396.99</v>
      </c>
      <c r="G19" s="242" t="str">
        <f t="shared" si="0"/>
        <v>TG98759</v>
      </c>
    </row>
    <row r="20" spans="2:7" x14ac:dyDescent="0.3">
      <c r="B20" s="175" t="s">
        <v>1630</v>
      </c>
      <c r="C20" s="398" t="s">
        <v>1602</v>
      </c>
      <c r="D20" s="399">
        <v>354</v>
      </c>
      <c r="E20" s="400">
        <v>15</v>
      </c>
      <c r="F20" s="401">
        <v>1396.99</v>
      </c>
      <c r="G20" s="242" t="str">
        <f t="shared" si="0"/>
        <v>TG98759</v>
      </c>
    </row>
    <row r="21" spans="2:7" x14ac:dyDescent="0.3">
      <c r="B21" s="175" t="s">
        <v>1642</v>
      </c>
      <c r="C21" s="398" t="s">
        <v>1602</v>
      </c>
      <c r="D21" s="399">
        <v>161</v>
      </c>
      <c r="E21" s="400">
        <v>15</v>
      </c>
      <c r="F21" s="401">
        <v>1396.99</v>
      </c>
      <c r="G21" s="242" t="str">
        <f t="shared" si="0"/>
        <v>TG98759</v>
      </c>
    </row>
    <row r="22" spans="2:7" x14ac:dyDescent="0.3">
      <c r="B22" s="175" t="s">
        <v>1654</v>
      </c>
      <c r="C22" s="398" t="s">
        <v>1602</v>
      </c>
      <c r="D22" s="399">
        <v>57</v>
      </c>
      <c r="E22" s="400">
        <v>15</v>
      </c>
      <c r="F22" s="401">
        <v>1396.99</v>
      </c>
      <c r="G22" s="242" t="str">
        <f t="shared" si="0"/>
        <v>TG98759</v>
      </c>
    </row>
    <row r="23" spans="2:7" x14ac:dyDescent="0.3">
      <c r="B23" s="175" t="s">
        <v>1615</v>
      </c>
      <c r="C23" s="385" t="s">
        <v>1599</v>
      </c>
      <c r="D23" s="399">
        <v>132</v>
      </c>
      <c r="E23" s="402">
        <v>30</v>
      </c>
      <c r="F23" s="401">
        <v>129.99</v>
      </c>
      <c r="G23" s="242" t="str">
        <f t="shared" si="0"/>
        <v>TF87357</v>
      </c>
    </row>
    <row r="24" spans="2:7" x14ac:dyDescent="0.3">
      <c r="B24" s="175" t="s">
        <v>1627</v>
      </c>
      <c r="C24" s="385" t="s">
        <v>1599</v>
      </c>
      <c r="D24" s="399">
        <v>34</v>
      </c>
      <c r="E24" s="402">
        <v>30</v>
      </c>
      <c r="F24" s="401">
        <v>129.99</v>
      </c>
      <c r="G24" s="242" t="str">
        <f t="shared" si="0"/>
        <v>TF87357</v>
      </c>
    </row>
    <row r="25" spans="2:7" x14ac:dyDescent="0.3">
      <c r="B25" s="175" t="s">
        <v>1639</v>
      </c>
      <c r="C25" s="385" t="s">
        <v>1599</v>
      </c>
      <c r="D25" s="399">
        <v>48</v>
      </c>
      <c r="E25" s="402">
        <v>30</v>
      </c>
      <c r="F25" s="401">
        <v>129.99</v>
      </c>
      <c r="G25" s="242" t="str">
        <f t="shared" si="0"/>
        <v>TF87357</v>
      </c>
    </row>
    <row r="26" spans="2:7" x14ac:dyDescent="0.3">
      <c r="B26" s="175" t="s">
        <v>1651</v>
      </c>
      <c r="C26" s="385" t="s">
        <v>1599</v>
      </c>
      <c r="D26" s="399">
        <v>14</v>
      </c>
      <c r="E26" s="402">
        <v>30</v>
      </c>
      <c r="F26" s="401">
        <v>129.99</v>
      </c>
      <c r="G26" s="242" t="str">
        <f t="shared" si="0"/>
        <v>TF87357</v>
      </c>
    </row>
    <row r="27" spans="2:7" x14ac:dyDescent="0.3">
      <c r="B27" s="175" t="s">
        <v>1620</v>
      </c>
      <c r="C27" s="398" t="s">
        <v>1604</v>
      </c>
      <c r="D27" s="399">
        <v>90</v>
      </c>
      <c r="E27" s="400">
        <v>25</v>
      </c>
      <c r="F27" s="401">
        <v>53.99</v>
      </c>
      <c r="G27" s="242" t="str">
        <f t="shared" si="0"/>
        <v>GH96876</v>
      </c>
    </row>
    <row r="28" spans="2:7" x14ac:dyDescent="0.3">
      <c r="B28" s="175" t="s">
        <v>1632</v>
      </c>
      <c r="C28" s="398" t="s">
        <v>1604</v>
      </c>
      <c r="D28" s="399">
        <v>112</v>
      </c>
      <c r="E28" s="400">
        <v>25</v>
      </c>
      <c r="F28" s="401">
        <v>53.99</v>
      </c>
      <c r="G28" s="242" t="str">
        <f t="shared" si="0"/>
        <v>GH96876</v>
      </c>
    </row>
    <row r="29" spans="2:7" x14ac:dyDescent="0.3">
      <c r="B29" s="175" t="s">
        <v>1644</v>
      </c>
      <c r="C29" s="398" t="s">
        <v>1604</v>
      </c>
      <c r="D29" s="399">
        <v>48</v>
      </c>
      <c r="E29" s="400">
        <v>25</v>
      </c>
      <c r="F29" s="401">
        <v>53.99</v>
      </c>
      <c r="G29" s="242" t="str">
        <f t="shared" si="0"/>
        <v>GH96876</v>
      </c>
    </row>
    <row r="30" spans="2:7" x14ac:dyDescent="0.3">
      <c r="B30" s="175" t="s">
        <v>1656</v>
      </c>
      <c r="C30" s="398" t="s">
        <v>1604</v>
      </c>
      <c r="D30" s="399">
        <v>204</v>
      </c>
      <c r="E30" s="400">
        <v>25</v>
      </c>
      <c r="F30" s="401">
        <v>53.99</v>
      </c>
      <c r="G30" s="242" t="str">
        <f t="shared" si="0"/>
        <v>GH96876</v>
      </c>
    </row>
    <row r="31" spans="2:7" x14ac:dyDescent="0.3">
      <c r="B31" s="175" t="s">
        <v>1619</v>
      </c>
      <c r="C31" s="398" t="s">
        <v>1603</v>
      </c>
      <c r="D31" s="399">
        <v>148</v>
      </c>
      <c r="E31" s="400">
        <v>30</v>
      </c>
      <c r="F31" s="401">
        <v>155.66</v>
      </c>
      <c r="G31" s="242" t="str">
        <f t="shared" si="0"/>
        <v>BD07798</v>
      </c>
    </row>
    <row r="32" spans="2:7" x14ac:dyDescent="0.3">
      <c r="B32" s="175" t="s">
        <v>1631</v>
      </c>
      <c r="C32" s="398" t="s">
        <v>1603</v>
      </c>
      <c r="D32" s="399">
        <v>63</v>
      </c>
      <c r="E32" s="400">
        <v>30</v>
      </c>
      <c r="F32" s="401">
        <v>155.66</v>
      </c>
      <c r="G32" s="242" t="str">
        <f t="shared" si="0"/>
        <v>BD07798</v>
      </c>
    </row>
    <row r="33" spans="2:7" x14ac:dyDescent="0.3">
      <c r="B33" s="175" t="s">
        <v>1643</v>
      </c>
      <c r="C33" s="398" t="s">
        <v>1603</v>
      </c>
      <c r="D33" s="399">
        <v>269</v>
      </c>
      <c r="E33" s="400">
        <v>30</v>
      </c>
      <c r="F33" s="401">
        <v>155.66</v>
      </c>
      <c r="G33" s="242" t="str">
        <f t="shared" si="0"/>
        <v>BD07798</v>
      </c>
    </row>
    <row r="34" spans="2:7" x14ac:dyDescent="0.3">
      <c r="B34" s="175" t="s">
        <v>1655</v>
      </c>
      <c r="C34" s="398" t="s">
        <v>1603</v>
      </c>
      <c r="D34" s="399">
        <v>122</v>
      </c>
      <c r="E34" s="400">
        <v>30</v>
      </c>
      <c r="F34" s="401">
        <v>155.66</v>
      </c>
      <c r="G34" s="242" t="str">
        <f t="shared" si="0"/>
        <v>BD07798</v>
      </c>
    </row>
    <row r="35" spans="2:7" x14ac:dyDescent="0.3">
      <c r="B35" s="175" t="s">
        <v>1612</v>
      </c>
      <c r="C35" s="398" t="s">
        <v>1596</v>
      </c>
      <c r="D35" s="399">
        <v>32</v>
      </c>
      <c r="E35" s="400">
        <v>8</v>
      </c>
      <c r="F35" s="401">
        <v>2059.9899999999998</v>
      </c>
      <c r="G35" s="242" t="str">
        <f t="shared" si="0"/>
        <v>BC98576</v>
      </c>
    </row>
    <row r="36" spans="2:7" x14ac:dyDescent="0.3">
      <c r="B36" s="175" t="s">
        <v>1624</v>
      </c>
      <c r="C36" s="398" t="s">
        <v>1596</v>
      </c>
      <c r="D36" s="399">
        <v>50</v>
      </c>
      <c r="E36" s="400">
        <v>8</v>
      </c>
      <c r="F36" s="401">
        <v>2059.9899999999998</v>
      </c>
      <c r="G36" s="242" t="str">
        <f t="shared" si="0"/>
        <v>BC98576</v>
      </c>
    </row>
    <row r="37" spans="2:7" x14ac:dyDescent="0.3">
      <c r="B37" s="175" t="s">
        <v>1636</v>
      </c>
      <c r="C37" s="398" t="s">
        <v>1596</v>
      </c>
      <c r="D37" s="399">
        <v>32</v>
      </c>
      <c r="E37" s="400">
        <v>8</v>
      </c>
      <c r="F37" s="401">
        <v>2059.9899999999998</v>
      </c>
      <c r="G37" s="242" t="str">
        <f t="shared" si="0"/>
        <v>BC98576</v>
      </c>
    </row>
    <row r="38" spans="2:7" x14ac:dyDescent="0.3">
      <c r="B38" s="175" t="s">
        <v>1648</v>
      </c>
      <c r="C38" s="398" t="s">
        <v>1596</v>
      </c>
      <c r="D38" s="399">
        <v>32</v>
      </c>
      <c r="E38" s="400">
        <v>8</v>
      </c>
      <c r="F38" s="401">
        <v>2059.9899999999998</v>
      </c>
      <c r="G38" s="242" t="str">
        <f t="shared" si="0"/>
        <v>BC98576</v>
      </c>
    </row>
    <row r="39" spans="2:7" x14ac:dyDescent="0.3">
      <c r="B39" s="175" t="s">
        <v>1621</v>
      </c>
      <c r="C39" s="398" t="s">
        <v>1605</v>
      </c>
      <c r="D39" s="399">
        <v>108</v>
      </c>
      <c r="E39" s="400">
        <v>28</v>
      </c>
      <c r="F39" s="401">
        <v>39.99</v>
      </c>
      <c r="G39" s="242" t="str">
        <f t="shared" si="0"/>
        <v>XD-0885</v>
      </c>
    </row>
    <row r="40" spans="2:7" x14ac:dyDescent="0.3">
      <c r="B40" s="175" t="s">
        <v>1633</v>
      </c>
      <c r="C40" s="398" t="s">
        <v>1605</v>
      </c>
      <c r="D40" s="399">
        <v>68</v>
      </c>
      <c r="E40" s="400">
        <v>28</v>
      </c>
      <c r="F40" s="401">
        <v>39.99</v>
      </c>
      <c r="G40" s="242" t="str">
        <f t="shared" si="0"/>
        <v>XD-0885</v>
      </c>
    </row>
    <row r="41" spans="2:7" x14ac:dyDescent="0.3">
      <c r="B41" s="175" t="s">
        <v>1645</v>
      </c>
      <c r="C41" s="398" t="s">
        <v>1605</v>
      </c>
      <c r="D41" s="399">
        <v>85</v>
      </c>
      <c r="E41" s="400">
        <v>28</v>
      </c>
      <c r="F41" s="401">
        <v>39.99</v>
      </c>
      <c r="G41" s="242" t="str">
        <f t="shared" si="0"/>
        <v>XD-0885</v>
      </c>
    </row>
    <row r="42" spans="2:7" x14ac:dyDescent="0.3">
      <c r="B42" s="175" t="s">
        <v>1657</v>
      </c>
      <c r="C42" s="398" t="s">
        <v>1605</v>
      </c>
      <c r="D42" s="399">
        <v>36</v>
      </c>
      <c r="E42" s="400">
        <v>28</v>
      </c>
      <c r="F42" s="401">
        <v>39.99</v>
      </c>
      <c r="G42" s="242" t="str">
        <f t="shared" si="0"/>
        <v>XD-0885</v>
      </c>
    </row>
    <row r="43" spans="2:7" x14ac:dyDescent="0.3">
      <c r="B43" s="142" t="s">
        <v>1610</v>
      </c>
      <c r="C43" s="398" t="s">
        <v>1594</v>
      </c>
      <c r="D43" s="399">
        <v>56</v>
      </c>
      <c r="E43" s="400">
        <v>12</v>
      </c>
      <c r="F43" s="401">
        <v>1299.99</v>
      </c>
      <c r="G43" s="242" t="str">
        <f t="shared" si="0"/>
        <v>HD78578</v>
      </c>
    </row>
    <row r="44" spans="2:7" x14ac:dyDescent="0.3">
      <c r="B44" s="142" t="s">
        <v>1622</v>
      </c>
      <c r="C44" s="398" t="s">
        <v>1594</v>
      </c>
      <c r="D44" s="399">
        <v>56</v>
      </c>
      <c r="E44" s="400">
        <v>12</v>
      </c>
      <c r="F44" s="401">
        <v>1299.99</v>
      </c>
      <c r="G44" s="242" t="str">
        <f t="shared" si="0"/>
        <v>HD78578</v>
      </c>
    </row>
    <row r="45" spans="2:7" x14ac:dyDescent="0.3">
      <c r="B45" s="142" t="s">
        <v>1634</v>
      </c>
      <c r="C45" s="398" t="s">
        <v>1594</v>
      </c>
      <c r="D45" s="399">
        <v>82</v>
      </c>
      <c r="E45" s="400">
        <v>12</v>
      </c>
      <c r="F45" s="401">
        <v>1299.99</v>
      </c>
      <c r="G45" s="242" t="str">
        <f t="shared" si="0"/>
        <v>HD78578</v>
      </c>
    </row>
    <row r="46" spans="2:7" x14ac:dyDescent="0.3">
      <c r="B46" s="142" t="s">
        <v>1646</v>
      </c>
      <c r="C46" s="398" t="s">
        <v>1594</v>
      </c>
      <c r="D46" s="399">
        <v>51</v>
      </c>
      <c r="E46" s="400">
        <v>12</v>
      </c>
      <c r="F46" s="401">
        <v>1299.99</v>
      </c>
      <c r="G46" s="242" t="str">
        <f t="shared" si="0"/>
        <v>HD78578</v>
      </c>
    </row>
    <row r="47" spans="2:7" x14ac:dyDescent="0.3">
      <c r="B47" s="175" t="s">
        <v>1616</v>
      </c>
      <c r="C47" s="398" t="s">
        <v>1600</v>
      </c>
      <c r="D47" s="399">
        <v>280</v>
      </c>
      <c r="E47" s="400">
        <v>80</v>
      </c>
      <c r="F47" s="401">
        <v>2.99</v>
      </c>
      <c r="G47" s="242" t="str">
        <f t="shared" si="0"/>
        <v>WS90759</v>
      </c>
    </row>
    <row r="48" spans="2:7" x14ac:dyDescent="0.3">
      <c r="B48" s="175" t="s">
        <v>1628</v>
      </c>
      <c r="C48" s="398" t="s">
        <v>1600</v>
      </c>
      <c r="D48" s="399">
        <v>100</v>
      </c>
      <c r="E48" s="400">
        <v>80</v>
      </c>
      <c r="F48" s="401">
        <v>2.99</v>
      </c>
      <c r="G48" s="242" t="str">
        <f t="shared" si="0"/>
        <v>WS90759</v>
      </c>
    </row>
    <row r="49" spans="2:7" x14ac:dyDescent="0.3">
      <c r="B49" s="175" t="s">
        <v>1640</v>
      </c>
      <c r="C49" s="398" t="s">
        <v>1600</v>
      </c>
      <c r="D49" s="399">
        <v>26</v>
      </c>
      <c r="E49" s="400">
        <v>80</v>
      </c>
      <c r="F49" s="401">
        <v>2.99</v>
      </c>
      <c r="G49" s="242" t="str">
        <f t="shared" si="0"/>
        <v>WS90759</v>
      </c>
    </row>
    <row r="50" spans="2:7" x14ac:dyDescent="0.3">
      <c r="B50" s="175" t="s">
        <v>1652</v>
      </c>
      <c r="C50" s="398" t="s">
        <v>1600</v>
      </c>
      <c r="D50" s="399">
        <v>36</v>
      </c>
      <c r="E50" s="400">
        <v>80</v>
      </c>
      <c r="F50" s="401">
        <v>2.99</v>
      </c>
      <c r="G50" s="242" t="str">
        <f t="shared" si="0"/>
        <v>WS90759</v>
      </c>
    </row>
    <row r="51" spans="2:7" x14ac:dyDescent="0.3">
      <c r="B51" s="175" t="s">
        <v>1614</v>
      </c>
      <c r="C51" s="403" t="s">
        <v>1598</v>
      </c>
      <c r="D51" s="399">
        <v>46</v>
      </c>
      <c r="E51" s="404">
        <v>16</v>
      </c>
      <c r="F51" s="401">
        <v>1743.99</v>
      </c>
      <c r="G51" s="242" t="str">
        <f t="shared" si="0"/>
        <v>PO7575W</v>
      </c>
    </row>
    <row r="52" spans="2:7" x14ac:dyDescent="0.3">
      <c r="B52" s="175" t="s">
        <v>1626</v>
      </c>
      <c r="C52" s="403" t="s">
        <v>1598</v>
      </c>
      <c r="D52" s="399">
        <v>63</v>
      </c>
      <c r="E52" s="404">
        <v>16</v>
      </c>
      <c r="F52" s="401">
        <v>1743.99</v>
      </c>
      <c r="G52" s="242" t="str">
        <f t="shared" si="0"/>
        <v>PO7575W</v>
      </c>
    </row>
    <row r="53" spans="2:7" x14ac:dyDescent="0.3">
      <c r="B53" s="175" t="s">
        <v>1638</v>
      </c>
      <c r="C53" s="403" t="s">
        <v>1598</v>
      </c>
      <c r="D53" s="399">
        <v>18</v>
      </c>
      <c r="E53" s="404">
        <v>16</v>
      </c>
      <c r="F53" s="401">
        <v>1743.99</v>
      </c>
      <c r="G53" s="242" t="str">
        <f t="shared" si="0"/>
        <v>PO7575W</v>
      </c>
    </row>
    <row r="54" spans="2:7" x14ac:dyDescent="0.3">
      <c r="B54" s="175" t="s">
        <v>1650</v>
      </c>
      <c r="C54" s="403" t="s">
        <v>1598</v>
      </c>
      <c r="D54" s="399">
        <v>28</v>
      </c>
      <c r="E54" s="404">
        <v>16</v>
      </c>
      <c r="F54" s="401">
        <v>1743.99</v>
      </c>
      <c r="G54" s="242" t="str">
        <f t="shared" si="0"/>
        <v>PO7575W</v>
      </c>
    </row>
  </sheetData>
  <sortState ref="B7:F54">
    <sortCondition ref="C7:C54"/>
  </sortState>
  <mergeCells count="1">
    <mergeCell ref="B4:F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8"/>
  <sheetViews>
    <sheetView showGridLines="0" workbookViewId="0">
      <selection activeCell="F6" sqref="F6"/>
    </sheetView>
  </sheetViews>
  <sheetFormatPr defaultColWidth="9.109375" defaultRowHeight="15.6" x14ac:dyDescent="0.3"/>
  <cols>
    <col min="1" max="1" width="22.33203125" style="142" customWidth="1"/>
    <col min="2" max="2" width="5" style="142" bestFit="1" customWidth="1"/>
    <col min="3" max="3" width="3.6640625" style="142" bestFit="1" customWidth="1"/>
    <col min="4" max="4" width="5" style="142" bestFit="1" customWidth="1"/>
    <col min="5" max="5" width="9.44140625" style="142" bestFit="1" customWidth="1"/>
    <col min="6" max="6" width="9.6640625" style="142" customWidth="1"/>
    <col min="7" max="7" width="9.109375" style="3"/>
    <col min="8" max="8" width="43.109375" style="142" bestFit="1" customWidth="1"/>
    <col min="9" max="16384" width="9.109375" style="142"/>
  </cols>
  <sheetData>
    <row r="1" spans="1:14" ht="23.4" x14ac:dyDescent="0.45">
      <c r="A1" s="33" t="s">
        <v>1693</v>
      </c>
      <c r="N1" s="634" t="s">
        <v>3016</v>
      </c>
    </row>
    <row r="4" spans="1:14" s="390" customFormat="1" x14ac:dyDescent="0.3">
      <c r="A4" s="388" t="s">
        <v>1401</v>
      </c>
      <c r="B4" s="389"/>
      <c r="C4" s="389"/>
      <c r="D4" s="389"/>
      <c r="E4" s="389"/>
      <c r="F4" s="389"/>
    </row>
    <row r="5" spans="1:14" s="390" customFormat="1" ht="16.2" thickBot="1" x14ac:dyDescent="0.35">
      <c r="A5" s="391" t="s">
        <v>177</v>
      </c>
      <c r="B5" s="392" t="s">
        <v>1083</v>
      </c>
      <c r="C5" s="392" t="s">
        <v>1084</v>
      </c>
      <c r="D5" s="392" t="s">
        <v>1085</v>
      </c>
      <c r="E5" s="392" t="s">
        <v>1086</v>
      </c>
      <c r="F5" s="392" t="s">
        <v>260</v>
      </c>
      <c r="G5" s="391" t="s">
        <v>568</v>
      </c>
      <c r="H5" s="391" t="s">
        <v>1087</v>
      </c>
    </row>
    <row r="6" spans="1:14" s="390" customFormat="1" x14ac:dyDescent="0.3">
      <c r="A6" s="390" t="s">
        <v>1088</v>
      </c>
      <c r="B6" s="389" t="s">
        <v>1089</v>
      </c>
      <c r="C6" s="389" t="s">
        <v>1090</v>
      </c>
      <c r="D6" s="389" t="s">
        <v>1091</v>
      </c>
      <c r="E6" s="389" t="s">
        <v>1092</v>
      </c>
      <c r="F6" s="389" t="str">
        <f>RIGHT(E6,3)</f>
        <v>268</v>
      </c>
      <c r="G6" s="389">
        <f>VALUE(F6)</f>
        <v>268</v>
      </c>
      <c r="H6" s="390" t="s">
        <v>1093</v>
      </c>
    </row>
    <row r="7" spans="1:14" s="390" customFormat="1" x14ac:dyDescent="0.3">
      <c r="A7" s="390" t="s">
        <v>1094</v>
      </c>
      <c r="B7" s="389" t="s">
        <v>1095</v>
      </c>
      <c r="C7" s="389" t="s">
        <v>1096</v>
      </c>
      <c r="D7" s="389" t="s">
        <v>1097</v>
      </c>
      <c r="E7" s="389" t="s">
        <v>1098</v>
      </c>
      <c r="F7" s="389" t="str">
        <f t="shared" ref="F7:F70" si="0">RIGHT(E7,3)</f>
        <v>169</v>
      </c>
      <c r="G7" s="389">
        <f t="shared" ref="G7:G70" si="1">VALUE(F7)</f>
        <v>169</v>
      </c>
      <c r="H7" s="390" t="s">
        <v>1099</v>
      </c>
    </row>
    <row r="8" spans="1:14" s="390" customFormat="1" x14ac:dyDescent="0.3">
      <c r="A8" s="390" t="s">
        <v>1100</v>
      </c>
      <c r="B8" s="389" t="s">
        <v>1095</v>
      </c>
      <c r="C8" s="389" t="s">
        <v>1101</v>
      </c>
      <c r="D8" s="389" t="s">
        <v>1102</v>
      </c>
      <c r="E8" s="389" t="s">
        <v>1103</v>
      </c>
      <c r="F8" s="389" t="str">
        <f t="shared" si="0"/>
        <v>180</v>
      </c>
      <c r="G8" s="389">
        <f t="shared" si="1"/>
        <v>180</v>
      </c>
      <c r="H8" s="390" t="s">
        <v>1104</v>
      </c>
    </row>
    <row r="9" spans="1:14" s="390" customFormat="1" x14ac:dyDescent="0.3">
      <c r="A9" s="390" t="s">
        <v>1105</v>
      </c>
      <c r="B9" s="389" t="s">
        <v>1106</v>
      </c>
      <c r="C9" s="389" t="s">
        <v>1107</v>
      </c>
      <c r="D9" s="389" t="s">
        <v>1108</v>
      </c>
      <c r="E9" s="389" t="s">
        <v>1109</v>
      </c>
      <c r="F9" s="389" t="str">
        <f t="shared" si="0"/>
        <v>197</v>
      </c>
      <c r="G9" s="389">
        <f t="shared" si="1"/>
        <v>197</v>
      </c>
      <c r="H9" s="390" t="s">
        <v>1110</v>
      </c>
    </row>
    <row r="10" spans="1:14" s="390" customFormat="1" x14ac:dyDescent="0.3">
      <c r="A10" s="390" t="s">
        <v>1111</v>
      </c>
      <c r="B10" s="389" t="s">
        <v>1112</v>
      </c>
      <c r="C10" s="389" t="s">
        <v>1101</v>
      </c>
      <c r="D10" s="389" t="s">
        <v>1102</v>
      </c>
      <c r="E10" s="389" t="s">
        <v>1113</v>
      </c>
      <c r="F10" s="389" t="str">
        <f t="shared" si="0"/>
        <v>211</v>
      </c>
      <c r="G10" s="389">
        <f t="shared" si="1"/>
        <v>211</v>
      </c>
      <c r="H10" s="390" t="s">
        <v>1114</v>
      </c>
    </row>
    <row r="11" spans="1:14" s="390" customFormat="1" x14ac:dyDescent="0.3">
      <c r="A11" s="390" t="s">
        <v>1115</v>
      </c>
      <c r="B11" s="389" t="s">
        <v>1116</v>
      </c>
      <c r="C11" s="389" t="s">
        <v>1090</v>
      </c>
      <c r="D11" s="389" t="s">
        <v>1091</v>
      </c>
      <c r="E11" s="389" t="s">
        <v>1117</v>
      </c>
      <c r="F11" s="389" t="str">
        <f t="shared" si="0"/>
        <v>239</v>
      </c>
      <c r="G11" s="389">
        <f t="shared" si="1"/>
        <v>239</v>
      </c>
      <c r="H11" s="390" t="s">
        <v>1118</v>
      </c>
    </row>
    <row r="12" spans="1:14" s="390" customFormat="1" x14ac:dyDescent="0.3">
      <c r="A12" s="390" t="s">
        <v>1119</v>
      </c>
      <c r="B12" s="389" t="s">
        <v>1116</v>
      </c>
      <c r="C12" s="389" t="s">
        <v>1101</v>
      </c>
      <c r="D12" s="389" t="s">
        <v>1102</v>
      </c>
      <c r="E12" s="389" t="s">
        <v>1120</v>
      </c>
      <c r="F12" s="389" t="str">
        <f t="shared" si="0"/>
        <v>192</v>
      </c>
      <c r="G12" s="389">
        <f t="shared" si="1"/>
        <v>192</v>
      </c>
      <c r="H12" s="390" t="s">
        <v>1121</v>
      </c>
    </row>
    <row r="13" spans="1:14" s="390" customFormat="1" x14ac:dyDescent="0.3">
      <c r="A13" s="390" t="s">
        <v>1122</v>
      </c>
      <c r="B13" s="389" t="s">
        <v>1123</v>
      </c>
      <c r="C13" s="389" t="s">
        <v>1096</v>
      </c>
      <c r="D13" s="389" t="s">
        <v>1097</v>
      </c>
      <c r="E13" s="389" t="s">
        <v>1124</v>
      </c>
      <c r="F13" s="389" t="str">
        <f t="shared" si="0"/>
        <v>232</v>
      </c>
      <c r="G13" s="389">
        <f t="shared" si="1"/>
        <v>232</v>
      </c>
      <c r="H13" s="390" t="s">
        <v>1125</v>
      </c>
    </row>
    <row r="14" spans="1:14" s="390" customFormat="1" x14ac:dyDescent="0.3">
      <c r="A14" s="390" t="s">
        <v>1126</v>
      </c>
      <c r="B14" s="389" t="s">
        <v>1127</v>
      </c>
      <c r="C14" s="389" t="s">
        <v>1101</v>
      </c>
      <c r="D14" s="389" t="s">
        <v>1102</v>
      </c>
      <c r="E14" s="389" t="s">
        <v>1128</v>
      </c>
      <c r="F14" s="389" t="str">
        <f t="shared" si="0"/>
        <v>205</v>
      </c>
      <c r="G14" s="389">
        <f t="shared" si="1"/>
        <v>205</v>
      </c>
      <c r="H14" s="390" t="s">
        <v>1129</v>
      </c>
    </row>
    <row r="15" spans="1:14" s="390" customFormat="1" x14ac:dyDescent="0.3">
      <c r="A15" s="390" t="s">
        <v>1130</v>
      </c>
      <c r="B15" s="389" t="s">
        <v>1106</v>
      </c>
      <c r="C15" s="389" t="s">
        <v>1107</v>
      </c>
      <c r="D15" s="389" t="s">
        <v>1108</v>
      </c>
      <c r="E15" s="389" t="s">
        <v>1131</v>
      </c>
      <c r="F15" s="389" t="str">
        <f t="shared" si="0"/>
        <v>215</v>
      </c>
      <c r="G15" s="389">
        <f t="shared" si="1"/>
        <v>215</v>
      </c>
      <c r="H15" s="390" t="s">
        <v>1099</v>
      </c>
    </row>
    <row r="16" spans="1:14" s="390" customFormat="1" x14ac:dyDescent="0.3">
      <c r="A16" s="390" t="s">
        <v>1132</v>
      </c>
      <c r="B16" s="389" t="s">
        <v>1095</v>
      </c>
      <c r="C16" s="389" t="s">
        <v>1090</v>
      </c>
      <c r="D16" s="389" t="s">
        <v>1091</v>
      </c>
      <c r="E16" s="389" t="s">
        <v>1133</v>
      </c>
      <c r="F16" s="389" t="str">
        <f t="shared" si="0"/>
        <v>185</v>
      </c>
      <c r="G16" s="389">
        <f t="shared" si="1"/>
        <v>185</v>
      </c>
      <c r="H16" s="390" t="s">
        <v>1134</v>
      </c>
    </row>
    <row r="17" spans="1:8" s="390" customFormat="1" x14ac:dyDescent="0.3">
      <c r="A17" s="390" t="s">
        <v>1135</v>
      </c>
      <c r="B17" s="389" t="s">
        <v>1116</v>
      </c>
      <c r="C17" s="389" t="s">
        <v>1090</v>
      </c>
      <c r="D17" s="389" t="s">
        <v>1091</v>
      </c>
      <c r="E17" s="389" t="s">
        <v>1136</v>
      </c>
      <c r="F17" s="389" t="str">
        <f t="shared" si="0"/>
        <v>207</v>
      </c>
      <c r="G17" s="389">
        <f t="shared" si="1"/>
        <v>207</v>
      </c>
      <c r="H17" s="390" t="s">
        <v>1125</v>
      </c>
    </row>
    <row r="18" spans="1:8" s="390" customFormat="1" x14ac:dyDescent="0.3">
      <c r="A18" s="390" t="s">
        <v>1137</v>
      </c>
      <c r="B18" s="389" t="s">
        <v>1127</v>
      </c>
      <c r="C18" s="389" t="s">
        <v>1096</v>
      </c>
      <c r="D18" s="389" t="s">
        <v>1097</v>
      </c>
      <c r="E18" s="389" t="s">
        <v>1138</v>
      </c>
      <c r="F18" s="389" t="str">
        <f t="shared" si="0"/>
        <v>182</v>
      </c>
      <c r="G18" s="389">
        <f t="shared" si="1"/>
        <v>182</v>
      </c>
      <c r="H18" s="390" t="s">
        <v>1139</v>
      </c>
    </row>
    <row r="19" spans="1:8" s="390" customFormat="1" x14ac:dyDescent="0.3">
      <c r="A19" s="390" t="s">
        <v>1140</v>
      </c>
      <c r="B19" s="389" t="s">
        <v>1141</v>
      </c>
      <c r="C19" s="389" t="s">
        <v>1101</v>
      </c>
      <c r="D19" s="389" t="s">
        <v>1102</v>
      </c>
      <c r="E19" s="389" t="s">
        <v>1142</v>
      </c>
      <c r="F19" s="389" t="str">
        <f t="shared" si="0"/>
        <v>201</v>
      </c>
      <c r="G19" s="389">
        <f t="shared" si="1"/>
        <v>201</v>
      </c>
      <c r="H19" s="390" t="s">
        <v>1143</v>
      </c>
    </row>
    <row r="20" spans="1:8" s="390" customFormat="1" x14ac:dyDescent="0.3">
      <c r="A20" s="390" t="s">
        <v>1144</v>
      </c>
      <c r="B20" s="389" t="s">
        <v>1127</v>
      </c>
      <c r="C20" s="389" t="s">
        <v>1096</v>
      </c>
      <c r="D20" s="389" t="s">
        <v>1097</v>
      </c>
      <c r="E20" s="389" t="s">
        <v>1145</v>
      </c>
      <c r="F20" s="389" t="str">
        <f t="shared" si="0"/>
        <v>176</v>
      </c>
      <c r="G20" s="389">
        <f t="shared" si="1"/>
        <v>176</v>
      </c>
      <c r="H20" s="390" t="s">
        <v>1146</v>
      </c>
    </row>
    <row r="21" spans="1:8" s="390" customFormat="1" x14ac:dyDescent="0.3">
      <c r="A21" s="390" t="s">
        <v>1147</v>
      </c>
      <c r="B21" s="389" t="s">
        <v>1127</v>
      </c>
      <c r="C21" s="389" t="s">
        <v>1090</v>
      </c>
      <c r="D21" s="389" t="s">
        <v>1148</v>
      </c>
      <c r="E21" s="389" t="s">
        <v>1149</v>
      </c>
      <c r="F21" s="389" t="str">
        <f t="shared" si="0"/>
        <v>212</v>
      </c>
      <c r="G21" s="389">
        <f t="shared" si="1"/>
        <v>212</v>
      </c>
      <c r="H21" s="390" t="s">
        <v>1150</v>
      </c>
    </row>
    <row r="22" spans="1:8" s="390" customFormat="1" x14ac:dyDescent="0.3">
      <c r="A22" s="390" t="s">
        <v>1151</v>
      </c>
      <c r="B22" s="389" t="s">
        <v>1127</v>
      </c>
      <c r="C22" s="389" t="s">
        <v>1107</v>
      </c>
      <c r="D22" s="389" t="s">
        <v>1152</v>
      </c>
      <c r="E22" s="389" t="s">
        <v>1153</v>
      </c>
      <c r="F22" s="389" t="str">
        <f t="shared" si="0"/>
        <v>206</v>
      </c>
      <c r="G22" s="389">
        <f t="shared" si="1"/>
        <v>206</v>
      </c>
      <c r="H22" s="390" t="s">
        <v>1154</v>
      </c>
    </row>
    <row r="23" spans="1:8" s="390" customFormat="1" x14ac:dyDescent="0.3">
      <c r="A23" s="390" t="s">
        <v>1155</v>
      </c>
      <c r="B23" s="389" t="s">
        <v>1106</v>
      </c>
      <c r="C23" s="389" t="s">
        <v>1107</v>
      </c>
      <c r="D23" s="389" t="s">
        <v>1097</v>
      </c>
      <c r="E23" s="389" t="s">
        <v>1131</v>
      </c>
      <c r="F23" s="389" t="str">
        <f t="shared" si="0"/>
        <v>215</v>
      </c>
      <c r="G23" s="389">
        <f t="shared" si="1"/>
        <v>215</v>
      </c>
      <c r="H23" s="390" t="s">
        <v>1156</v>
      </c>
    </row>
    <row r="24" spans="1:8" s="390" customFormat="1" x14ac:dyDescent="0.3">
      <c r="A24" s="390" t="s">
        <v>1157</v>
      </c>
      <c r="B24" s="389" t="s">
        <v>1127</v>
      </c>
      <c r="C24" s="389" t="s">
        <v>1096</v>
      </c>
      <c r="D24" s="389" t="s">
        <v>1097</v>
      </c>
      <c r="E24" s="389" t="s">
        <v>1158</v>
      </c>
      <c r="F24" s="389" t="str">
        <f t="shared" si="0"/>
        <v>173</v>
      </c>
      <c r="G24" s="389">
        <f t="shared" si="1"/>
        <v>173</v>
      </c>
      <c r="H24" s="390" t="s">
        <v>1159</v>
      </c>
    </row>
    <row r="25" spans="1:8" s="390" customFormat="1" x14ac:dyDescent="0.3">
      <c r="A25" s="390" t="s">
        <v>1160</v>
      </c>
      <c r="B25" s="389" t="s">
        <v>1106</v>
      </c>
      <c r="C25" s="389" t="s">
        <v>1096</v>
      </c>
      <c r="D25" s="389" t="s">
        <v>1097</v>
      </c>
      <c r="E25" s="389" t="s">
        <v>1161</v>
      </c>
      <c r="F25" s="389" t="str">
        <f t="shared" si="0"/>
        <v>210</v>
      </c>
      <c r="G25" s="389">
        <f t="shared" si="1"/>
        <v>210</v>
      </c>
      <c r="H25" s="390" t="s">
        <v>1162</v>
      </c>
    </row>
    <row r="26" spans="1:8" s="390" customFormat="1" x14ac:dyDescent="0.3">
      <c r="A26" s="390" t="s">
        <v>1163</v>
      </c>
      <c r="B26" s="389" t="s">
        <v>1095</v>
      </c>
      <c r="C26" s="389" t="s">
        <v>1096</v>
      </c>
      <c r="D26" s="389" t="s">
        <v>1097</v>
      </c>
      <c r="E26" s="389" t="s">
        <v>1164</v>
      </c>
      <c r="F26" s="389" t="str">
        <f t="shared" si="0"/>
        <v>210</v>
      </c>
      <c r="G26" s="389">
        <f t="shared" si="1"/>
        <v>210</v>
      </c>
      <c r="H26" s="390" t="s">
        <v>1165</v>
      </c>
    </row>
    <row r="27" spans="1:8" s="390" customFormat="1" x14ac:dyDescent="0.3">
      <c r="A27" s="390" t="s">
        <v>1166</v>
      </c>
      <c r="B27" s="389" t="s">
        <v>1167</v>
      </c>
      <c r="C27" s="389" t="s">
        <v>1101</v>
      </c>
      <c r="D27" s="389" t="s">
        <v>1102</v>
      </c>
      <c r="E27" s="389" t="s">
        <v>1168</v>
      </c>
      <c r="F27" s="389" t="str">
        <f t="shared" si="0"/>
        <v>218</v>
      </c>
      <c r="G27" s="389">
        <f t="shared" si="1"/>
        <v>218</v>
      </c>
      <c r="H27" s="390" t="s">
        <v>1169</v>
      </c>
    </row>
    <row r="28" spans="1:8" s="390" customFormat="1" x14ac:dyDescent="0.3">
      <c r="A28" s="390" t="s">
        <v>1170</v>
      </c>
      <c r="B28" s="389" t="s">
        <v>1095</v>
      </c>
      <c r="C28" s="389" t="s">
        <v>1107</v>
      </c>
      <c r="D28" s="389" t="s">
        <v>1108</v>
      </c>
      <c r="E28" s="389" t="s">
        <v>1171</v>
      </c>
      <c r="F28" s="389" t="str">
        <f t="shared" si="0"/>
        <v>195</v>
      </c>
      <c r="G28" s="389">
        <f t="shared" si="1"/>
        <v>195</v>
      </c>
      <c r="H28" s="390" t="s">
        <v>1172</v>
      </c>
    </row>
    <row r="29" spans="1:8" s="390" customFormat="1" x14ac:dyDescent="0.3">
      <c r="A29" s="390" t="s">
        <v>1173</v>
      </c>
      <c r="B29" s="389" t="s">
        <v>1106</v>
      </c>
      <c r="C29" s="389" t="s">
        <v>1101</v>
      </c>
      <c r="D29" s="389" t="s">
        <v>1174</v>
      </c>
      <c r="E29" s="389" t="s">
        <v>1175</v>
      </c>
      <c r="F29" s="389" t="str">
        <f t="shared" si="0"/>
        <v>196</v>
      </c>
      <c r="G29" s="389">
        <f t="shared" si="1"/>
        <v>196</v>
      </c>
      <c r="H29" s="390" t="s">
        <v>1176</v>
      </c>
    </row>
    <row r="30" spans="1:8" s="390" customFormat="1" x14ac:dyDescent="0.3">
      <c r="A30" s="390" t="s">
        <v>1177</v>
      </c>
      <c r="B30" s="389" t="s">
        <v>1178</v>
      </c>
      <c r="C30" s="389" t="s">
        <v>1096</v>
      </c>
      <c r="D30" s="389" t="s">
        <v>1097</v>
      </c>
      <c r="E30" s="389" t="s">
        <v>1113</v>
      </c>
      <c r="F30" s="389" t="str">
        <f t="shared" si="0"/>
        <v>211</v>
      </c>
      <c r="G30" s="389">
        <f t="shared" si="1"/>
        <v>211</v>
      </c>
      <c r="H30" s="390" t="s">
        <v>1179</v>
      </c>
    </row>
    <row r="31" spans="1:8" s="390" customFormat="1" x14ac:dyDescent="0.3">
      <c r="A31" s="390" t="s">
        <v>1180</v>
      </c>
      <c r="B31" s="389" t="s">
        <v>1095</v>
      </c>
      <c r="C31" s="389" t="s">
        <v>1107</v>
      </c>
      <c r="D31" s="389" t="s">
        <v>1152</v>
      </c>
      <c r="E31" s="389" t="s">
        <v>1181</v>
      </c>
      <c r="F31" s="389" t="str">
        <f t="shared" si="0"/>
        <v>174</v>
      </c>
      <c r="G31" s="389">
        <f t="shared" si="1"/>
        <v>174</v>
      </c>
      <c r="H31" s="390" t="s">
        <v>1182</v>
      </c>
    </row>
    <row r="32" spans="1:8" s="390" customFormat="1" x14ac:dyDescent="0.3">
      <c r="A32" s="390" t="s">
        <v>1183</v>
      </c>
      <c r="B32" s="389" t="s">
        <v>1112</v>
      </c>
      <c r="C32" s="389" t="s">
        <v>1096</v>
      </c>
      <c r="D32" s="389" t="s">
        <v>1097</v>
      </c>
      <c r="E32" s="389" t="s">
        <v>1184</v>
      </c>
      <c r="F32" s="389" t="str">
        <f t="shared" si="0"/>
        <v>204</v>
      </c>
      <c r="G32" s="389">
        <f t="shared" si="1"/>
        <v>204</v>
      </c>
      <c r="H32" s="390" t="s">
        <v>1185</v>
      </c>
    </row>
    <row r="33" spans="1:8" s="390" customFormat="1" x14ac:dyDescent="0.3">
      <c r="A33" s="390" t="s">
        <v>1186</v>
      </c>
      <c r="B33" s="389" t="s">
        <v>1127</v>
      </c>
      <c r="C33" s="389" t="s">
        <v>1101</v>
      </c>
      <c r="D33" s="389" t="s">
        <v>1102</v>
      </c>
      <c r="E33" s="389" t="s">
        <v>1187</v>
      </c>
      <c r="F33" s="389" t="str">
        <f t="shared" si="0"/>
        <v>209</v>
      </c>
      <c r="G33" s="389">
        <f t="shared" si="1"/>
        <v>209</v>
      </c>
      <c r="H33" s="390" t="s">
        <v>1188</v>
      </c>
    </row>
    <row r="34" spans="1:8" s="390" customFormat="1" x14ac:dyDescent="0.3">
      <c r="A34" s="390" t="s">
        <v>1189</v>
      </c>
      <c r="B34" s="389" t="s">
        <v>1106</v>
      </c>
      <c r="C34" s="389" t="s">
        <v>1096</v>
      </c>
      <c r="D34" s="389" t="s">
        <v>1097</v>
      </c>
      <c r="E34" s="389" t="s">
        <v>1190</v>
      </c>
      <c r="F34" s="389" t="str">
        <f t="shared" si="0"/>
        <v>201</v>
      </c>
      <c r="G34" s="389">
        <f t="shared" si="1"/>
        <v>201</v>
      </c>
      <c r="H34" s="390" t="s">
        <v>1191</v>
      </c>
    </row>
    <row r="35" spans="1:8" s="390" customFormat="1" x14ac:dyDescent="0.3">
      <c r="A35" s="390" t="s">
        <v>1192</v>
      </c>
      <c r="B35" s="389" t="s">
        <v>1095</v>
      </c>
      <c r="C35" s="389" t="s">
        <v>1101</v>
      </c>
      <c r="D35" s="389" t="s">
        <v>1102</v>
      </c>
      <c r="E35" s="389" t="s">
        <v>1193</v>
      </c>
      <c r="F35" s="389" t="str">
        <f t="shared" si="0"/>
        <v>192</v>
      </c>
      <c r="G35" s="389">
        <f t="shared" si="1"/>
        <v>192</v>
      </c>
      <c r="H35" s="390" t="s">
        <v>1194</v>
      </c>
    </row>
    <row r="36" spans="1:8" s="390" customFormat="1" x14ac:dyDescent="0.3">
      <c r="A36" s="390" t="s">
        <v>1195</v>
      </c>
      <c r="B36" s="389" t="s">
        <v>1112</v>
      </c>
      <c r="C36" s="389" t="s">
        <v>1096</v>
      </c>
      <c r="D36" s="389" t="s">
        <v>1097</v>
      </c>
      <c r="E36" s="389" t="s">
        <v>1196</v>
      </c>
      <c r="F36" s="389" t="str">
        <f t="shared" si="0"/>
        <v>179</v>
      </c>
      <c r="G36" s="389">
        <f t="shared" si="1"/>
        <v>179</v>
      </c>
      <c r="H36" s="390" t="s">
        <v>1197</v>
      </c>
    </row>
    <row r="37" spans="1:8" s="390" customFormat="1" x14ac:dyDescent="0.3">
      <c r="A37" s="390" t="s">
        <v>1198</v>
      </c>
      <c r="B37" s="389" t="s">
        <v>1106</v>
      </c>
      <c r="C37" s="389" t="s">
        <v>1107</v>
      </c>
      <c r="D37" s="389" t="s">
        <v>1152</v>
      </c>
      <c r="E37" s="389" t="s">
        <v>1164</v>
      </c>
      <c r="F37" s="389" t="str">
        <f t="shared" si="0"/>
        <v>210</v>
      </c>
      <c r="G37" s="389">
        <f t="shared" si="1"/>
        <v>210</v>
      </c>
      <c r="H37" s="390" t="s">
        <v>1199</v>
      </c>
    </row>
    <row r="38" spans="1:8" s="390" customFormat="1" x14ac:dyDescent="0.3">
      <c r="A38" s="390" t="s">
        <v>1200</v>
      </c>
      <c r="B38" s="389" t="s">
        <v>1201</v>
      </c>
      <c r="C38" s="389" t="s">
        <v>1101</v>
      </c>
      <c r="D38" s="389" t="s">
        <v>1102</v>
      </c>
      <c r="E38" s="389" t="s">
        <v>1202</v>
      </c>
      <c r="F38" s="389" t="str">
        <f t="shared" si="0"/>
        <v>200</v>
      </c>
      <c r="G38" s="389">
        <f t="shared" si="1"/>
        <v>200</v>
      </c>
      <c r="H38" s="390" t="s">
        <v>1203</v>
      </c>
    </row>
    <row r="39" spans="1:8" s="390" customFormat="1" x14ac:dyDescent="0.3">
      <c r="A39" s="390" t="s">
        <v>1204</v>
      </c>
      <c r="B39" s="389" t="s">
        <v>1112</v>
      </c>
      <c r="C39" s="389" t="s">
        <v>1107</v>
      </c>
      <c r="D39" s="389" t="s">
        <v>1152</v>
      </c>
      <c r="E39" s="389" t="s">
        <v>1205</v>
      </c>
      <c r="F39" s="389" t="str">
        <f t="shared" si="0"/>
        <v>197</v>
      </c>
      <c r="G39" s="389">
        <f t="shared" si="1"/>
        <v>197</v>
      </c>
      <c r="H39" s="390" t="s">
        <v>1206</v>
      </c>
    </row>
    <row r="40" spans="1:8" s="390" customFormat="1" x14ac:dyDescent="0.3">
      <c r="A40" s="390" t="s">
        <v>1207</v>
      </c>
      <c r="B40" s="389" t="s">
        <v>1208</v>
      </c>
      <c r="C40" s="389" t="s">
        <v>1090</v>
      </c>
      <c r="D40" s="389" t="s">
        <v>1091</v>
      </c>
      <c r="E40" s="389" t="s">
        <v>1209</v>
      </c>
      <c r="F40" s="389" t="str">
        <f t="shared" si="0"/>
        <v>217</v>
      </c>
      <c r="G40" s="389">
        <f t="shared" si="1"/>
        <v>217</v>
      </c>
      <c r="H40" s="390" t="s">
        <v>1210</v>
      </c>
    </row>
    <row r="41" spans="1:8" s="390" customFormat="1" x14ac:dyDescent="0.3">
      <c r="A41" s="390" t="s">
        <v>1211</v>
      </c>
      <c r="B41" s="389" t="s">
        <v>1208</v>
      </c>
      <c r="C41" s="389" t="s">
        <v>1107</v>
      </c>
      <c r="D41" s="389" t="s">
        <v>1108</v>
      </c>
      <c r="E41" s="389" t="s">
        <v>1212</v>
      </c>
      <c r="F41" s="389" t="str">
        <f t="shared" si="0"/>
        <v>226</v>
      </c>
      <c r="G41" s="389">
        <f t="shared" si="1"/>
        <v>226</v>
      </c>
      <c r="H41" s="390" t="s">
        <v>1213</v>
      </c>
    </row>
    <row r="42" spans="1:8" s="390" customFormat="1" x14ac:dyDescent="0.3">
      <c r="A42" s="390" t="s">
        <v>1214</v>
      </c>
      <c r="B42" s="389" t="s">
        <v>1106</v>
      </c>
      <c r="C42" s="389" t="s">
        <v>1090</v>
      </c>
      <c r="D42" s="389" t="s">
        <v>1091</v>
      </c>
      <c r="E42" s="389" t="s">
        <v>1215</v>
      </c>
      <c r="F42" s="389" t="str">
        <f t="shared" si="0"/>
        <v>200</v>
      </c>
      <c r="G42" s="389">
        <f t="shared" si="1"/>
        <v>200</v>
      </c>
      <c r="H42" s="390" t="s">
        <v>1216</v>
      </c>
    </row>
    <row r="43" spans="1:8" s="390" customFormat="1" x14ac:dyDescent="0.3">
      <c r="A43" s="390" t="s">
        <v>1217</v>
      </c>
      <c r="B43" s="389" t="s">
        <v>1208</v>
      </c>
      <c r="C43" s="389" t="s">
        <v>1107</v>
      </c>
      <c r="D43" s="389" t="s">
        <v>1152</v>
      </c>
      <c r="E43" s="389" t="s">
        <v>1218</v>
      </c>
      <c r="F43" s="389" t="str">
        <f t="shared" si="0"/>
        <v>226</v>
      </c>
      <c r="G43" s="389">
        <f t="shared" si="1"/>
        <v>226</v>
      </c>
      <c r="H43" s="390" t="s">
        <v>1219</v>
      </c>
    </row>
    <row r="44" spans="1:8" s="390" customFormat="1" x14ac:dyDescent="0.3">
      <c r="A44" s="390" t="s">
        <v>1220</v>
      </c>
      <c r="B44" s="389" t="s">
        <v>1221</v>
      </c>
      <c r="C44" s="389" t="s">
        <v>1101</v>
      </c>
      <c r="D44" s="389" t="s">
        <v>1102</v>
      </c>
      <c r="E44" s="389" t="s">
        <v>1222</v>
      </c>
      <c r="F44" s="389" t="str">
        <f t="shared" si="0"/>
        <v>219</v>
      </c>
      <c r="G44" s="389">
        <f t="shared" si="1"/>
        <v>219</v>
      </c>
      <c r="H44" s="390" t="s">
        <v>1223</v>
      </c>
    </row>
    <row r="45" spans="1:8" s="390" customFormat="1" x14ac:dyDescent="0.3">
      <c r="A45" s="390" t="s">
        <v>1224</v>
      </c>
      <c r="B45" s="389" t="s">
        <v>1106</v>
      </c>
      <c r="C45" s="389" t="s">
        <v>1101</v>
      </c>
      <c r="D45" s="389" t="s">
        <v>1102</v>
      </c>
      <c r="E45" s="389" t="s">
        <v>1131</v>
      </c>
      <c r="F45" s="389" t="str">
        <f t="shared" si="0"/>
        <v>215</v>
      </c>
      <c r="G45" s="389">
        <f t="shared" si="1"/>
        <v>215</v>
      </c>
      <c r="H45" s="390" t="s">
        <v>1225</v>
      </c>
    </row>
    <row r="46" spans="1:8" s="390" customFormat="1" x14ac:dyDescent="0.3">
      <c r="A46" s="390" t="s">
        <v>1226</v>
      </c>
      <c r="B46" s="389" t="s">
        <v>275</v>
      </c>
      <c r="C46" s="389" t="s">
        <v>1101</v>
      </c>
      <c r="D46" s="389" t="s">
        <v>1102</v>
      </c>
      <c r="E46" s="389" t="s">
        <v>1227</v>
      </c>
      <c r="F46" s="389" t="str">
        <f t="shared" si="0"/>
        <v>264</v>
      </c>
      <c r="G46" s="389">
        <f t="shared" si="1"/>
        <v>264</v>
      </c>
      <c r="H46" s="390" t="s">
        <v>1228</v>
      </c>
    </row>
    <row r="47" spans="1:8" s="390" customFormat="1" x14ac:dyDescent="0.3">
      <c r="A47" s="390" t="s">
        <v>1229</v>
      </c>
      <c r="B47" s="389" t="s">
        <v>1230</v>
      </c>
      <c r="C47" s="389" t="s">
        <v>1096</v>
      </c>
      <c r="D47" s="389" t="s">
        <v>1097</v>
      </c>
      <c r="E47" s="389" t="s">
        <v>1231</v>
      </c>
      <c r="F47" s="389" t="str">
        <f t="shared" si="0"/>
        <v>213</v>
      </c>
      <c r="G47" s="389">
        <f t="shared" si="1"/>
        <v>213</v>
      </c>
      <c r="H47" s="390" t="s">
        <v>1232</v>
      </c>
    </row>
    <row r="48" spans="1:8" s="390" customFormat="1" x14ac:dyDescent="0.3">
      <c r="A48" s="390" t="s">
        <v>1233</v>
      </c>
      <c r="B48" s="389" t="s">
        <v>1208</v>
      </c>
      <c r="C48" s="389" t="s">
        <v>1101</v>
      </c>
      <c r="D48" s="389" t="s">
        <v>1102</v>
      </c>
      <c r="E48" s="389" t="s">
        <v>1234</v>
      </c>
      <c r="F48" s="389" t="str">
        <f t="shared" si="0"/>
        <v>230</v>
      </c>
      <c r="G48" s="389">
        <f t="shared" si="1"/>
        <v>230</v>
      </c>
      <c r="H48" s="390" t="s">
        <v>1235</v>
      </c>
    </row>
    <row r="49" spans="1:8" s="390" customFormat="1" x14ac:dyDescent="0.3">
      <c r="A49" s="390" t="s">
        <v>1236</v>
      </c>
      <c r="B49" s="389" t="s">
        <v>275</v>
      </c>
      <c r="C49" s="389" t="s">
        <v>1107</v>
      </c>
      <c r="D49" s="389" t="s">
        <v>1108</v>
      </c>
      <c r="E49" s="389" t="s">
        <v>1237</v>
      </c>
      <c r="F49" s="389" t="str">
        <f t="shared" si="0"/>
        <v>258</v>
      </c>
      <c r="G49" s="389">
        <f t="shared" si="1"/>
        <v>258</v>
      </c>
      <c r="H49" s="390" t="s">
        <v>1238</v>
      </c>
    </row>
    <row r="50" spans="1:8" s="390" customFormat="1" x14ac:dyDescent="0.3">
      <c r="A50" s="390" t="s">
        <v>1239</v>
      </c>
      <c r="B50" s="389" t="s">
        <v>1230</v>
      </c>
      <c r="C50" s="389" t="s">
        <v>1101</v>
      </c>
      <c r="D50" s="389" t="s">
        <v>1097</v>
      </c>
      <c r="E50" s="389" t="s">
        <v>1240</v>
      </c>
      <c r="F50" s="389" t="str">
        <f t="shared" si="0"/>
        <v>240</v>
      </c>
      <c r="G50" s="389">
        <f t="shared" si="1"/>
        <v>240</v>
      </c>
      <c r="H50" s="390" t="s">
        <v>1146</v>
      </c>
    </row>
    <row r="51" spans="1:8" s="390" customFormat="1" x14ac:dyDescent="0.3">
      <c r="A51" s="390" t="s">
        <v>1241</v>
      </c>
      <c r="B51" s="389" t="s">
        <v>1221</v>
      </c>
      <c r="C51" s="389" t="s">
        <v>1096</v>
      </c>
      <c r="D51" s="389" t="s">
        <v>1097</v>
      </c>
      <c r="E51" s="389" t="s">
        <v>1242</v>
      </c>
      <c r="F51" s="389" t="str">
        <f t="shared" si="0"/>
        <v>217</v>
      </c>
      <c r="G51" s="389">
        <f t="shared" si="1"/>
        <v>217</v>
      </c>
      <c r="H51" s="390" t="s">
        <v>1114</v>
      </c>
    </row>
    <row r="52" spans="1:8" s="390" customFormat="1" x14ac:dyDescent="0.3">
      <c r="A52" s="390" t="s">
        <v>1243</v>
      </c>
      <c r="B52" s="389" t="s">
        <v>1127</v>
      </c>
      <c r="C52" s="389" t="s">
        <v>1107</v>
      </c>
      <c r="D52" s="389" t="s">
        <v>1102</v>
      </c>
      <c r="E52" s="389" t="s">
        <v>1244</v>
      </c>
      <c r="F52" s="389" t="str">
        <f t="shared" si="0"/>
        <v>198</v>
      </c>
      <c r="G52" s="389">
        <f t="shared" si="1"/>
        <v>198</v>
      </c>
      <c r="H52" s="390" t="s">
        <v>1245</v>
      </c>
    </row>
    <row r="53" spans="1:8" s="390" customFormat="1" x14ac:dyDescent="0.3">
      <c r="A53" s="390" t="s">
        <v>1246</v>
      </c>
      <c r="B53" s="389" t="s">
        <v>1208</v>
      </c>
      <c r="C53" s="389" t="s">
        <v>1096</v>
      </c>
      <c r="D53" s="389" t="s">
        <v>1097</v>
      </c>
      <c r="E53" s="389" t="s">
        <v>1247</v>
      </c>
      <c r="F53" s="389" t="str">
        <f t="shared" si="0"/>
        <v>197</v>
      </c>
      <c r="G53" s="389">
        <f t="shared" si="1"/>
        <v>197</v>
      </c>
      <c r="H53" s="390" t="s">
        <v>1248</v>
      </c>
    </row>
    <row r="54" spans="1:8" s="390" customFormat="1" x14ac:dyDescent="0.3">
      <c r="A54" s="390" t="s">
        <v>1249</v>
      </c>
      <c r="B54" s="389" t="s">
        <v>1230</v>
      </c>
      <c r="C54" s="389" t="s">
        <v>1107</v>
      </c>
      <c r="D54" s="389" t="s">
        <v>1152</v>
      </c>
      <c r="E54" s="389" t="s">
        <v>1250</v>
      </c>
      <c r="F54" s="389" t="str">
        <f t="shared" si="0"/>
        <v>242</v>
      </c>
      <c r="G54" s="389">
        <f t="shared" si="1"/>
        <v>242</v>
      </c>
      <c r="H54" s="390" t="s">
        <v>1251</v>
      </c>
    </row>
    <row r="55" spans="1:8" s="390" customFormat="1" x14ac:dyDescent="0.3">
      <c r="A55" s="390" t="s">
        <v>1252</v>
      </c>
      <c r="B55" s="389" t="s">
        <v>1230</v>
      </c>
      <c r="C55" s="389" t="s">
        <v>1107</v>
      </c>
      <c r="D55" s="389" t="s">
        <v>1152</v>
      </c>
      <c r="E55" s="389" t="s">
        <v>1253</v>
      </c>
      <c r="F55" s="389" t="str">
        <f t="shared" si="0"/>
        <v>246</v>
      </c>
      <c r="G55" s="389">
        <f t="shared" si="1"/>
        <v>246</v>
      </c>
      <c r="H55" s="390" t="s">
        <v>1254</v>
      </c>
    </row>
    <row r="56" spans="1:8" s="390" customFormat="1" x14ac:dyDescent="0.3">
      <c r="A56" s="390" t="s">
        <v>1255</v>
      </c>
      <c r="B56" s="389" t="s">
        <v>1221</v>
      </c>
      <c r="C56" s="389" t="s">
        <v>1107</v>
      </c>
      <c r="D56" s="389" t="s">
        <v>1152</v>
      </c>
      <c r="E56" s="389" t="s">
        <v>1256</v>
      </c>
      <c r="F56" s="389" t="str">
        <f t="shared" si="0"/>
        <v>257</v>
      </c>
      <c r="G56" s="389">
        <f t="shared" si="1"/>
        <v>257</v>
      </c>
      <c r="H56" s="390" t="s">
        <v>1225</v>
      </c>
    </row>
    <row r="57" spans="1:8" s="390" customFormat="1" x14ac:dyDescent="0.3">
      <c r="A57" s="390" t="s">
        <v>1257</v>
      </c>
      <c r="B57" s="389" t="s">
        <v>1221</v>
      </c>
      <c r="C57" s="389" t="s">
        <v>1107</v>
      </c>
      <c r="D57" s="389" t="s">
        <v>1152</v>
      </c>
      <c r="E57" s="389" t="s">
        <v>1258</v>
      </c>
      <c r="F57" s="389" t="str">
        <f t="shared" si="0"/>
        <v>228</v>
      </c>
      <c r="G57" s="389">
        <f t="shared" si="1"/>
        <v>228</v>
      </c>
      <c r="H57" s="390" t="s">
        <v>1259</v>
      </c>
    </row>
    <row r="58" spans="1:8" s="390" customFormat="1" x14ac:dyDescent="0.3">
      <c r="A58" s="390" t="s">
        <v>1260</v>
      </c>
      <c r="B58" s="389" t="s">
        <v>1208</v>
      </c>
      <c r="C58" s="389" t="s">
        <v>1107</v>
      </c>
      <c r="D58" s="389" t="s">
        <v>1152</v>
      </c>
      <c r="E58" s="389" t="s">
        <v>1261</v>
      </c>
      <c r="F58" s="389" t="str">
        <f t="shared" si="0"/>
        <v>233</v>
      </c>
      <c r="G58" s="389">
        <f t="shared" si="1"/>
        <v>233</v>
      </c>
      <c r="H58" s="390" t="s">
        <v>1262</v>
      </c>
    </row>
    <row r="59" spans="1:8" s="390" customFormat="1" x14ac:dyDescent="0.3">
      <c r="A59" s="390" t="s">
        <v>1263</v>
      </c>
      <c r="B59" s="389" t="s">
        <v>275</v>
      </c>
      <c r="C59" s="389" t="s">
        <v>1096</v>
      </c>
      <c r="D59" s="389" t="s">
        <v>1097</v>
      </c>
      <c r="E59" s="389" t="s">
        <v>1264</v>
      </c>
      <c r="F59" s="389" t="str">
        <f t="shared" si="0"/>
        <v>258</v>
      </c>
      <c r="G59" s="389">
        <f t="shared" si="1"/>
        <v>258</v>
      </c>
      <c r="H59" s="390" t="s">
        <v>1265</v>
      </c>
    </row>
    <row r="60" spans="1:8" s="390" customFormat="1" x14ac:dyDescent="0.3">
      <c r="A60" s="390" t="s">
        <v>1266</v>
      </c>
      <c r="B60" s="389" t="s">
        <v>1267</v>
      </c>
      <c r="C60" s="389" t="s">
        <v>1101</v>
      </c>
      <c r="D60" s="389" t="s">
        <v>1102</v>
      </c>
      <c r="E60" s="389" t="s">
        <v>1268</v>
      </c>
      <c r="F60" s="389" t="str">
        <f t="shared" si="0"/>
        <v>335</v>
      </c>
      <c r="G60" s="389">
        <f t="shared" si="1"/>
        <v>335</v>
      </c>
      <c r="H60" s="390" t="s">
        <v>1269</v>
      </c>
    </row>
    <row r="61" spans="1:8" s="390" customFormat="1" x14ac:dyDescent="0.3">
      <c r="A61" s="390" t="s">
        <v>1270</v>
      </c>
      <c r="B61" s="389" t="s">
        <v>1089</v>
      </c>
      <c r="C61" s="389" t="s">
        <v>1090</v>
      </c>
      <c r="D61" s="389" t="s">
        <v>1091</v>
      </c>
      <c r="E61" s="389" t="s">
        <v>1271</v>
      </c>
      <c r="F61" s="389" t="str">
        <f t="shared" si="0"/>
        <v>294</v>
      </c>
      <c r="G61" s="389">
        <f t="shared" si="1"/>
        <v>294</v>
      </c>
      <c r="H61" s="390" t="s">
        <v>1272</v>
      </c>
    </row>
    <row r="62" spans="1:8" s="390" customFormat="1" x14ac:dyDescent="0.3">
      <c r="A62" s="390" t="s">
        <v>1273</v>
      </c>
      <c r="B62" s="389" t="s">
        <v>1208</v>
      </c>
      <c r="C62" s="389" t="s">
        <v>1096</v>
      </c>
      <c r="D62" s="389" t="s">
        <v>1097</v>
      </c>
      <c r="E62" s="389" t="s">
        <v>1131</v>
      </c>
      <c r="F62" s="389" t="str">
        <f t="shared" si="0"/>
        <v>215</v>
      </c>
      <c r="G62" s="389">
        <f t="shared" si="1"/>
        <v>215</v>
      </c>
      <c r="H62" s="390" t="s">
        <v>1274</v>
      </c>
    </row>
    <row r="63" spans="1:8" s="390" customFormat="1" x14ac:dyDescent="0.3">
      <c r="A63" s="390" t="s">
        <v>1275</v>
      </c>
      <c r="B63" s="389" t="s">
        <v>1276</v>
      </c>
      <c r="C63" s="389" t="s">
        <v>1107</v>
      </c>
      <c r="D63" s="389" t="s">
        <v>1108</v>
      </c>
      <c r="E63" s="389" t="s">
        <v>1277</v>
      </c>
      <c r="F63" s="389" t="str">
        <f t="shared" si="0"/>
        <v>290</v>
      </c>
      <c r="G63" s="389">
        <f t="shared" si="1"/>
        <v>290</v>
      </c>
      <c r="H63" s="390" t="s">
        <v>1278</v>
      </c>
    </row>
    <row r="64" spans="1:8" s="390" customFormat="1" x14ac:dyDescent="0.3">
      <c r="A64" s="390" t="s">
        <v>1279</v>
      </c>
      <c r="B64" s="389" t="s">
        <v>1201</v>
      </c>
      <c r="C64" s="389" t="s">
        <v>1101</v>
      </c>
      <c r="D64" s="389" t="s">
        <v>1102</v>
      </c>
      <c r="E64" s="389" t="s">
        <v>1280</v>
      </c>
      <c r="F64" s="389" t="str">
        <f t="shared" si="0"/>
        <v>189</v>
      </c>
      <c r="G64" s="389">
        <f t="shared" si="1"/>
        <v>189</v>
      </c>
      <c r="H64" s="390" t="s">
        <v>1281</v>
      </c>
    </row>
    <row r="65" spans="1:8" s="390" customFormat="1" x14ac:dyDescent="0.3">
      <c r="A65" s="390" t="s">
        <v>1282</v>
      </c>
      <c r="B65" s="389" t="s">
        <v>275</v>
      </c>
      <c r="C65" s="389" t="s">
        <v>1107</v>
      </c>
      <c r="D65" s="389" t="s">
        <v>1152</v>
      </c>
      <c r="E65" s="389" t="s">
        <v>1283</v>
      </c>
      <c r="F65" s="389" t="str">
        <f t="shared" si="0"/>
        <v>274</v>
      </c>
      <c r="G65" s="389">
        <f t="shared" si="1"/>
        <v>274</v>
      </c>
      <c r="H65" s="390" t="s">
        <v>1284</v>
      </c>
    </row>
    <row r="66" spans="1:8" s="390" customFormat="1" x14ac:dyDescent="0.3">
      <c r="A66" s="390" t="s">
        <v>1285</v>
      </c>
      <c r="B66" s="389" t="s">
        <v>1089</v>
      </c>
      <c r="C66" s="389" t="s">
        <v>1107</v>
      </c>
      <c r="D66" s="389" t="s">
        <v>1152</v>
      </c>
      <c r="E66" s="389" t="s">
        <v>1286</v>
      </c>
      <c r="F66" s="389" t="str">
        <f t="shared" si="0"/>
        <v>277</v>
      </c>
      <c r="G66" s="389">
        <f t="shared" si="1"/>
        <v>277</v>
      </c>
      <c r="H66" s="390" t="s">
        <v>1287</v>
      </c>
    </row>
    <row r="67" spans="1:8" s="390" customFormat="1" x14ac:dyDescent="0.3">
      <c r="A67" s="390" t="s">
        <v>1288</v>
      </c>
      <c r="B67" s="389" t="s">
        <v>1289</v>
      </c>
      <c r="C67" s="389" t="s">
        <v>1107</v>
      </c>
      <c r="D67" s="389" t="s">
        <v>1152</v>
      </c>
      <c r="E67" s="389" t="s">
        <v>1290</v>
      </c>
      <c r="F67" s="389" t="str">
        <f t="shared" si="0"/>
        <v>304</v>
      </c>
      <c r="G67" s="389">
        <f t="shared" si="1"/>
        <v>304</v>
      </c>
      <c r="H67" s="390" t="s">
        <v>1291</v>
      </c>
    </row>
    <row r="68" spans="1:8" s="390" customFormat="1" x14ac:dyDescent="0.3">
      <c r="A68" s="390" t="s">
        <v>1292</v>
      </c>
      <c r="B68" s="389" t="s">
        <v>15</v>
      </c>
      <c r="C68" s="389" t="s">
        <v>1101</v>
      </c>
      <c r="D68" s="389" t="s">
        <v>1102</v>
      </c>
      <c r="E68" s="389" t="s">
        <v>1293</v>
      </c>
      <c r="F68" s="389" t="str">
        <f t="shared" si="0"/>
        <v>298</v>
      </c>
      <c r="G68" s="389">
        <f t="shared" si="1"/>
        <v>298</v>
      </c>
      <c r="H68" s="390" t="s">
        <v>1294</v>
      </c>
    </row>
    <row r="69" spans="1:8" s="390" customFormat="1" x14ac:dyDescent="0.3">
      <c r="A69" s="390" t="s">
        <v>1295</v>
      </c>
      <c r="B69" s="389" t="s">
        <v>1267</v>
      </c>
      <c r="C69" s="389" t="s">
        <v>1107</v>
      </c>
      <c r="D69" s="389" t="s">
        <v>1152</v>
      </c>
      <c r="E69" s="389" t="s">
        <v>1296</v>
      </c>
      <c r="F69" s="389" t="str">
        <f t="shared" si="0"/>
        <v>295</v>
      </c>
      <c r="G69" s="389">
        <f t="shared" si="1"/>
        <v>295</v>
      </c>
      <c r="H69" s="390" t="s">
        <v>1297</v>
      </c>
    </row>
    <row r="70" spans="1:8" s="390" customFormat="1" x14ac:dyDescent="0.3">
      <c r="A70" s="390" t="s">
        <v>1298</v>
      </c>
      <c r="B70" s="389" t="s">
        <v>275</v>
      </c>
      <c r="C70" s="389" t="s">
        <v>1101</v>
      </c>
      <c r="D70" s="389" t="s">
        <v>1102</v>
      </c>
      <c r="E70" s="389" t="s">
        <v>1299</v>
      </c>
      <c r="F70" s="389" t="str">
        <f t="shared" si="0"/>
        <v>212</v>
      </c>
      <c r="G70" s="389">
        <f t="shared" si="1"/>
        <v>212</v>
      </c>
      <c r="H70" s="390" t="s">
        <v>1300</v>
      </c>
    </row>
    <row r="71" spans="1:8" s="390" customFormat="1" x14ac:dyDescent="0.3">
      <c r="A71" s="390" t="s">
        <v>1301</v>
      </c>
      <c r="B71" s="389" t="s">
        <v>15</v>
      </c>
      <c r="C71" s="389" t="s">
        <v>1090</v>
      </c>
      <c r="D71" s="389" t="s">
        <v>1091</v>
      </c>
      <c r="E71" s="389" t="s">
        <v>1296</v>
      </c>
      <c r="F71" s="389" t="str">
        <f t="shared" ref="F71:F104" si="2">RIGHT(E71,3)</f>
        <v>295</v>
      </c>
      <c r="G71" s="389">
        <f t="shared" ref="G71:G104" si="3">VALUE(F71)</f>
        <v>295</v>
      </c>
      <c r="H71" s="390" t="s">
        <v>1302</v>
      </c>
    </row>
    <row r="72" spans="1:8" s="390" customFormat="1" x14ac:dyDescent="0.3">
      <c r="A72" s="390" t="s">
        <v>1303</v>
      </c>
      <c r="B72" s="389" t="s">
        <v>1089</v>
      </c>
      <c r="C72" s="389" t="s">
        <v>1096</v>
      </c>
      <c r="D72" s="389" t="s">
        <v>1097</v>
      </c>
      <c r="E72" s="389" t="s">
        <v>1304</v>
      </c>
      <c r="F72" s="389" t="str">
        <f t="shared" si="2"/>
        <v>298</v>
      </c>
      <c r="G72" s="389">
        <f t="shared" si="3"/>
        <v>298</v>
      </c>
      <c r="H72" s="390" t="s">
        <v>1305</v>
      </c>
    </row>
    <row r="73" spans="1:8" s="390" customFormat="1" x14ac:dyDescent="0.3">
      <c r="A73" s="390" t="s">
        <v>1306</v>
      </c>
      <c r="B73" s="389" t="s">
        <v>275</v>
      </c>
      <c r="C73" s="389" t="s">
        <v>1101</v>
      </c>
      <c r="D73" s="389" t="s">
        <v>1097</v>
      </c>
      <c r="E73" s="389" t="s">
        <v>1307</v>
      </c>
      <c r="F73" s="389" t="str">
        <f t="shared" si="2"/>
        <v>230</v>
      </c>
      <c r="G73" s="389">
        <f t="shared" si="3"/>
        <v>230</v>
      </c>
      <c r="H73" s="390" t="s">
        <v>1308</v>
      </c>
    </row>
    <row r="74" spans="1:8" s="390" customFormat="1" x14ac:dyDescent="0.3">
      <c r="A74" s="390" t="s">
        <v>1309</v>
      </c>
      <c r="B74" s="389" t="s">
        <v>1310</v>
      </c>
      <c r="C74" s="389" t="s">
        <v>1090</v>
      </c>
      <c r="D74" s="389" t="s">
        <v>1091</v>
      </c>
      <c r="E74" s="389" t="s">
        <v>1311</v>
      </c>
      <c r="F74" s="389" t="str">
        <f t="shared" si="2"/>
        <v>291</v>
      </c>
      <c r="G74" s="389">
        <f t="shared" si="3"/>
        <v>291</v>
      </c>
      <c r="H74" s="390" t="s">
        <v>1312</v>
      </c>
    </row>
    <row r="75" spans="1:8" s="390" customFormat="1" x14ac:dyDescent="0.3">
      <c r="A75" s="390" t="s">
        <v>1313</v>
      </c>
      <c r="B75" s="389" t="s">
        <v>1089</v>
      </c>
      <c r="C75" s="389" t="s">
        <v>1096</v>
      </c>
      <c r="D75" s="389" t="s">
        <v>1097</v>
      </c>
      <c r="E75" s="389" t="s">
        <v>1314</v>
      </c>
      <c r="F75" s="389" t="str">
        <f t="shared" si="2"/>
        <v>310</v>
      </c>
      <c r="G75" s="389">
        <f t="shared" si="3"/>
        <v>310</v>
      </c>
      <c r="H75" s="390" t="s">
        <v>1315</v>
      </c>
    </row>
    <row r="76" spans="1:8" s="390" customFormat="1" x14ac:dyDescent="0.3">
      <c r="A76" s="390" t="s">
        <v>1316</v>
      </c>
      <c r="B76" s="389" t="s">
        <v>1289</v>
      </c>
      <c r="C76" s="389" t="s">
        <v>1101</v>
      </c>
      <c r="D76" s="389" t="s">
        <v>1102</v>
      </c>
      <c r="E76" s="389" t="s">
        <v>1317</v>
      </c>
      <c r="F76" s="389" t="str">
        <f t="shared" si="2"/>
        <v>329</v>
      </c>
      <c r="G76" s="389">
        <f t="shared" si="3"/>
        <v>329</v>
      </c>
      <c r="H76" s="390" t="s">
        <v>1318</v>
      </c>
    </row>
    <row r="77" spans="1:8" s="390" customFormat="1" x14ac:dyDescent="0.3">
      <c r="A77" s="390" t="s">
        <v>1319</v>
      </c>
      <c r="B77" s="389" t="s">
        <v>1289</v>
      </c>
      <c r="C77" s="389" t="s">
        <v>1107</v>
      </c>
      <c r="D77" s="389" t="s">
        <v>1108</v>
      </c>
      <c r="E77" s="389" t="s">
        <v>1320</v>
      </c>
      <c r="F77" s="389" t="str">
        <f t="shared" si="2"/>
        <v>325</v>
      </c>
      <c r="G77" s="389">
        <f t="shared" si="3"/>
        <v>325</v>
      </c>
      <c r="H77" s="390" t="s">
        <v>1321</v>
      </c>
    </row>
    <row r="78" spans="1:8" s="390" customFormat="1" x14ac:dyDescent="0.3">
      <c r="A78" s="390" t="s">
        <v>1322</v>
      </c>
      <c r="B78" s="389" t="s">
        <v>275</v>
      </c>
      <c r="C78" s="389" t="s">
        <v>1107</v>
      </c>
      <c r="D78" s="389" t="s">
        <v>1152</v>
      </c>
      <c r="E78" s="389" t="s">
        <v>1323</v>
      </c>
      <c r="F78" s="389" t="str">
        <f t="shared" si="2"/>
        <v>276</v>
      </c>
      <c r="G78" s="389">
        <f t="shared" si="3"/>
        <v>276</v>
      </c>
      <c r="H78" s="390" t="s">
        <v>1324</v>
      </c>
    </row>
    <row r="79" spans="1:8" s="390" customFormat="1" x14ac:dyDescent="0.3">
      <c r="A79" s="390" t="s">
        <v>1325</v>
      </c>
      <c r="B79" s="389" t="s">
        <v>1267</v>
      </c>
      <c r="C79" s="389" t="s">
        <v>1101</v>
      </c>
      <c r="D79" s="389" t="s">
        <v>1102</v>
      </c>
      <c r="E79" s="389" t="s">
        <v>1326</v>
      </c>
      <c r="F79" s="389" t="str">
        <f t="shared" si="2"/>
        <v>310</v>
      </c>
      <c r="G79" s="389">
        <f t="shared" si="3"/>
        <v>310</v>
      </c>
      <c r="H79" s="390" t="s">
        <v>1327</v>
      </c>
    </row>
    <row r="80" spans="1:8" s="390" customFormat="1" x14ac:dyDescent="0.3">
      <c r="A80" s="390" t="s">
        <v>1328</v>
      </c>
      <c r="B80" s="389" t="s">
        <v>1289</v>
      </c>
      <c r="C80" s="389" t="s">
        <v>1096</v>
      </c>
      <c r="D80" s="389" t="s">
        <v>1102</v>
      </c>
      <c r="E80" s="389" t="s">
        <v>1329</v>
      </c>
      <c r="F80" s="389" t="str">
        <f t="shared" si="2"/>
        <v>305</v>
      </c>
      <c r="G80" s="389">
        <f t="shared" si="3"/>
        <v>305</v>
      </c>
      <c r="H80" s="390" t="s">
        <v>1330</v>
      </c>
    </row>
    <row r="81" spans="1:8" s="390" customFormat="1" x14ac:dyDescent="0.3">
      <c r="A81" s="390" t="s">
        <v>1331</v>
      </c>
      <c r="B81" s="389" t="s">
        <v>1289</v>
      </c>
      <c r="C81" s="389" t="s">
        <v>1107</v>
      </c>
      <c r="D81" s="389" t="s">
        <v>1152</v>
      </c>
      <c r="E81" s="389" t="s">
        <v>1332</v>
      </c>
      <c r="F81" s="389" t="str">
        <f t="shared" si="2"/>
        <v>305</v>
      </c>
      <c r="G81" s="389">
        <f t="shared" si="3"/>
        <v>305</v>
      </c>
      <c r="H81" s="390" t="s">
        <v>1333</v>
      </c>
    </row>
    <row r="82" spans="1:8" s="390" customFormat="1" x14ac:dyDescent="0.3">
      <c r="A82" s="390" t="s">
        <v>1334</v>
      </c>
      <c r="B82" s="389" t="s">
        <v>1267</v>
      </c>
      <c r="C82" s="389" t="s">
        <v>1101</v>
      </c>
      <c r="D82" s="389" t="s">
        <v>1102</v>
      </c>
      <c r="E82" s="389" t="s">
        <v>1335</v>
      </c>
      <c r="F82" s="389" t="str">
        <f t="shared" si="2"/>
        <v>328</v>
      </c>
      <c r="G82" s="389">
        <f t="shared" si="3"/>
        <v>328</v>
      </c>
      <c r="H82" s="390" t="s">
        <v>1336</v>
      </c>
    </row>
    <row r="83" spans="1:8" s="390" customFormat="1" x14ac:dyDescent="0.3">
      <c r="A83" s="390" t="s">
        <v>1337</v>
      </c>
      <c r="B83" s="389" t="s">
        <v>1127</v>
      </c>
      <c r="C83" s="389" t="s">
        <v>1101</v>
      </c>
      <c r="D83" s="389" t="s">
        <v>1102</v>
      </c>
      <c r="E83" s="389" t="s">
        <v>1109</v>
      </c>
      <c r="F83" s="389" t="str">
        <f t="shared" si="2"/>
        <v>197</v>
      </c>
      <c r="G83" s="389">
        <f t="shared" si="3"/>
        <v>197</v>
      </c>
      <c r="H83" s="390" t="s">
        <v>1338</v>
      </c>
    </row>
    <row r="84" spans="1:8" s="390" customFormat="1" x14ac:dyDescent="0.3">
      <c r="A84" s="390" t="s">
        <v>1339</v>
      </c>
      <c r="B84" s="389" t="s">
        <v>1123</v>
      </c>
      <c r="C84" s="389" t="s">
        <v>1101</v>
      </c>
      <c r="D84" s="389" t="s">
        <v>1102</v>
      </c>
      <c r="E84" s="389" t="s">
        <v>1340</v>
      </c>
      <c r="F84" s="389" t="str">
        <f t="shared" si="2"/>
        <v>234</v>
      </c>
      <c r="G84" s="389">
        <f t="shared" si="3"/>
        <v>234</v>
      </c>
      <c r="H84" s="390" t="s">
        <v>1121</v>
      </c>
    </row>
    <row r="85" spans="1:8" s="390" customFormat="1" x14ac:dyDescent="0.3">
      <c r="A85" s="390" t="s">
        <v>1341</v>
      </c>
      <c r="B85" s="389" t="s">
        <v>1127</v>
      </c>
      <c r="C85" s="389" t="s">
        <v>1107</v>
      </c>
      <c r="D85" s="389" t="s">
        <v>1152</v>
      </c>
      <c r="E85" s="389" t="s">
        <v>1342</v>
      </c>
      <c r="F85" s="389" t="str">
        <f t="shared" si="2"/>
        <v>202</v>
      </c>
      <c r="G85" s="389">
        <f t="shared" si="3"/>
        <v>202</v>
      </c>
      <c r="H85" s="390" t="s">
        <v>1343</v>
      </c>
    </row>
    <row r="86" spans="1:8" s="390" customFormat="1" x14ac:dyDescent="0.3">
      <c r="A86" s="390" t="s">
        <v>1344</v>
      </c>
      <c r="B86" s="389" t="s">
        <v>275</v>
      </c>
      <c r="C86" s="389" t="s">
        <v>1096</v>
      </c>
      <c r="D86" s="389" t="s">
        <v>1097</v>
      </c>
      <c r="E86" s="389" t="s">
        <v>1345</v>
      </c>
      <c r="F86" s="389" t="str">
        <f t="shared" si="2"/>
        <v>247</v>
      </c>
      <c r="G86" s="389">
        <f t="shared" si="3"/>
        <v>247</v>
      </c>
      <c r="H86" s="390" t="s">
        <v>1346</v>
      </c>
    </row>
    <row r="87" spans="1:8" s="390" customFormat="1" x14ac:dyDescent="0.3">
      <c r="A87" s="390" t="s">
        <v>1347</v>
      </c>
      <c r="B87" s="389" t="s">
        <v>1123</v>
      </c>
      <c r="C87" s="389" t="s">
        <v>1090</v>
      </c>
      <c r="D87" s="389" t="s">
        <v>1091</v>
      </c>
      <c r="E87" s="389" t="s">
        <v>1348</v>
      </c>
      <c r="F87" s="389" t="str">
        <f t="shared" si="2"/>
        <v>231</v>
      </c>
      <c r="G87" s="389">
        <f t="shared" si="3"/>
        <v>231</v>
      </c>
      <c r="H87" s="390" t="s">
        <v>1349</v>
      </c>
    </row>
    <row r="88" spans="1:8" s="390" customFormat="1" x14ac:dyDescent="0.3">
      <c r="A88" s="390" t="s">
        <v>1350</v>
      </c>
      <c r="B88" s="389" t="s">
        <v>1276</v>
      </c>
      <c r="C88" s="389" t="s">
        <v>1090</v>
      </c>
      <c r="D88" s="389" t="s">
        <v>1091</v>
      </c>
      <c r="E88" s="389" t="s">
        <v>1296</v>
      </c>
      <c r="F88" s="389" t="str">
        <f t="shared" si="2"/>
        <v>295</v>
      </c>
      <c r="G88" s="389">
        <f t="shared" si="3"/>
        <v>295</v>
      </c>
      <c r="H88" s="390" t="s">
        <v>1351</v>
      </c>
    </row>
    <row r="89" spans="1:8" s="390" customFormat="1" x14ac:dyDescent="0.3">
      <c r="A89" s="390" t="s">
        <v>1352</v>
      </c>
      <c r="B89" s="389" t="s">
        <v>1123</v>
      </c>
      <c r="C89" s="389" t="s">
        <v>1107</v>
      </c>
      <c r="D89" s="389" t="s">
        <v>1097</v>
      </c>
      <c r="E89" s="389" t="s">
        <v>1353</v>
      </c>
      <c r="F89" s="389" t="str">
        <f t="shared" si="2"/>
        <v>258</v>
      </c>
      <c r="G89" s="389">
        <f t="shared" si="3"/>
        <v>258</v>
      </c>
      <c r="H89" s="390" t="s">
        <v>1354</v>
      </c>
    </row>
    <row r="90" spans="1:8" s="390" customFormat="1" x14ac:dyDescent="0.3">
      <c r="A90" s="390" t="s">
        <v>1355</v>
      </c>
      <c r="B90" s="389" t="s">
        <v>275</v>
      </c>
      <c r="C90" s="389" t="s">
        <v>1090</v>
      </c>
      <c r="D90" s="389" t="s">
        <v>1091</v>
      </c>
      <c r="E90" s="389" t="s">
        <v>1356</v>
      </c>
      <c r="F90" s="389" t="str">
        <f t="shared" si="2"/>
        <v>234</v>
      </c>
      <c r="G90" s="389">
        <f t="shared" si="3"/>
        <v>234</v>
      </c>
      <c r="H90" s="390" t="s">
        <v>1357</v>
      </c>
    </row>
    <row r="91" spans="1:8" s="390" customFormat="1" x14ac:dyDescent="0.3">
      <c r="A91" s="390" t="s">
        <v>1358</v>
      </c>
      <c r="B91" s="389" t="s">
        <v>1123</v>
      </c>
      <c r="C91" s="389" t="s">
        <v>1096</v>
      </c>
      <c r="D91" s="389" t="s">
        <v>1097</v>
      </c>
      <c r="E91" s="389" t="s">
        <v>1359</v>
      </c>
      <c r="F91" s="389" t="str">
        <f t="shared" si="2"/>
        <v>254</v>
      </c>
      <c r="G91" s="389">
        <f t="shared" si="3"/>
        <v>254</v>
      </c>
      <c r="H91" s="390" t="s">
        <v>1360</v>
      </c>
    </row>
    <row r="92" spans="1:8" s="390" customFormat="1" x14ac:dyDescent="0.3">
      <c r="A92" s="390" t="s">
        <v>1361</v>
      </c>
      <c r="B92" s="389" t="s">
        <v>1123</v>
      </c>
      <c r="C92" s="389" t="s">
        <v>1101</v>
      </c>
      <c r="D92" s="389" t="s">
        <v>1102</v>
      </c>
      <c r="E92" s="389" t="s">
        <v>1362</v>
      </c>
      <c r="F92" s="389" t="str">
        <f t="shared" si="2"/>
        <v>270</v>
      </c>
      <c r="G92" s="389">
        <f t="shared" si="3"/>
        <v>270</v>
      </c>
      <c r="H92" s="390" t="s">
        <v>1363</v>
      </c>
    </row>
    <row r="93" spans="1:8" s="390" customFormat="1" x14ac:dyDescent="0.3">
      <c r="A93" s="390" t="s">
        <v>1364</v>
      </c>
      <c r="B93" s="389" t="s">
        <v>275</v>
      </c>
      <c r="C93" s="389" t="s">
        <v>1090</v>
      </c>
      <c r="D93" s="389" t="s">
        <v>1091</v>
      </c>
      <c r="E93" s="389" t="s">
        <v>1359</v>
      </c>
      <c r="F93" s="389" t="str">
        <f t="shared" si="2"/>
        <v>254</v>
      </c>
      <c r="G93" s="389">
        <f t="shared" si="3"/>
        <v>254</v>
      </c>
      <c r="H93" s="390" t="s">
        <v>1365</v>
      </c>
    </row>
    <row r="94" spans="1:8" s="390" customFormat="1" x14ac:dyDescent="0.3">
      <c r="A94" s="390" t="s">
        <v>1366</v>
      </c>
      <c r="B94" s="389" t="s">
        <v>1276</v>
      </c>
      <c r="C94" s="389" t="s">
        <v>1107</v>
      </c>
      <c r="D94" s="389" t="s">
        <v>1108</v>
      </c>
      <c r="E94" s="389" t="s">
        <v>1367</v>
      </c>
      <c r="F94" s="389" t="str">
        <f t="shared" si="2"/>
        <v>316</v>
      </c>
      <c r="G94" s="389">
        <f t="shared" si="3"/>
        <v>316</v>
      </c>
      <c r="H94" s="390" t="s">
        <v>1368</v>
      </c>
    </row>
    <row r="95" spans="1:8" s="390" customFormat="1" x14ac:dyDescent="0.3">
      <c r="A95" s="390" t="s">
        <v>1369</v>
      </c>
      <c r="B95" s="389" t="s">
        <v>1201</v>
      </c>
      <c r="C95" s="389" t="s">
        <v>1096</v>
      </c>
      <c r="D95" s="389" t="s">
        <v>1097</v>
      </c>
      <c r="E95" s="389" t="s">
        <v>1370</v>
      </c>
      <c r="F95" s="389" t="str">
        <f t="shared" si="2"/>
        <v>211</v>
      </c>
      <c r="G95" s="389">
        <f t="shared" si="3"/>
        <v>211</v>
      </c>
      <c r="H95" s="390" t="s">
        <v>1371</v>
      </c>
    </row>
    <row r="96" spans="1:8" s="390" customFormat="1" x14ac:dyDescent="0.3">
      <c r="A96" s="390" t="s">
        <v>1372</v>
      </c>
      <c r="B96" s="389" t="s">
        <v>1373</v>
      </c>
      <c r="C96" s="389" t="s">
        <v>1107</v>
      </c>
      <c r="D96" s="389" t="s">
        <v>1374</v>
      </c>
      <c r="E96" s="389" t="s">
        <v>1375</v>
      </c>
      <c r="F96" s="389" t="str">
        <f t="shared" si="2"/>
        <v>288</v>
      </c>
      <c r="G96" s="389">
        <f t="shared" si="3"/>
        <v>288</v>
      </c>
      <c r="H96" s="390" t="s">
        <v>1376</v>
      </c>
    </row>
    <row r="97" spans="1:8" s="390" customFormat="1" x14ac:dyDescent="0.3">
      <c r="A97" s="390" t="s">
        <v>1377</v>
      </c>
      <c r="B97" s="389" t="s">
        <v>275</v>
      </c>
      <c r="C97" s="389" t="s">
        <v>1096</v>
      </c>
      <c r="D97" s="389" t="s">
        <v>1097</v>
      </c>
      <c r="E97" s="389" t="s">
        <v>1378</v>
      </c>
      <c r="F97" s="389" t="str">
        <f t="shared" si="2"/>
        <v>295</v>
      </c>
      <c r="G97" s="389">
        <f t="shared" si="3"/>
        <v>295</v>
      </c>
      <c r="H97" s="390" t="s">
        <v>1379</v>
      </c>
    </row>
    <row r="98" spans="1:8" s="390" customFormat="1" x14ac:dyDescent="0.3">
      <c r="A98" s="390" t="s">
        <v>1380</v>
      </c>
      <c r="B98" s="389" t="s">
        <v>1381</v>
      </c>
      <c r="C98" s="389" t="s">
        <v>1101</v>
      </c>
      <c r="D98" s="389" t="s">
        <v>1102</v>
      </c>
      <c r="E98" s="389" t="s">
        <v>1382</v>
      </c>
      <c r="F98" s="389" t="str">
        <f t="shared" si="2"/>
        <v>292</v>
      </c>
      <c r="G98" s="389">
        <f t="shared" si="3"/>
        <v>292</v>
      </c>
      <c r="H98" s="390" t="s">
        <v>1228</v>
      </c>
    </row>
    <row r="99" spans="1:8" s="390" customFormat="1" x14ac:dyDescent="0.3">
      <c r="A99" s="390" t="s">
        <v>1383</v>
      </c>
      <c r="B99" s="389" t="s">
        <v>1276</v>
      </c>
      <c r="C99" s="389" t="s">
        <v>1107</v>
      </c>
      <c r="D99" s="389" t="s">
        <v>1108</v>
      </c>
      <c r="E99" s="389" t="s">
        <v>1384</v>
      </c>
      <c r="F99" s="389" t="str">
        <f t="shared" si="2"/>
        <v>300</v>
      </c>
      <c r="G99" s="389">
        <f t="shared" si="3"/>
        <v>300</v>
      </c>
      <c r="H99" s="390" t="s">
        <v>1385</v>
      </c>
    </row>
    <row r="100" spans="1:8" s="390" customFormat="1" x14ac:dyDescent="0.3">
      <c r="A100" s="390" t="s">
        <v>1386</v>
      </c>
      <c r="B100" s="389" t="s">
        <v>1387</v>
      </c>
      <c r="C100" s="389" t="s">
        <v>1096</v>
      </c>
      <c r="D100" s="389" t="s">
        <v>1097</v>
      </c>
      <c r="E100" s="389" t="s">
        <v>1388</v>
      </c>
      <c r="F100" s="389" t="str">
        <f t="shared" si="2"/>
        <v>211</v>
      </c>
      <c r="G100" s="389">
        <f t="shared" si="3"/>
        <v>211</v>
      </c>
      <c r="H100" s="390" t="s">
        <v>1154</v>
      </c>
    </row>
    <row r="101" spans="1:8" s="390" customFormat="1" x14ac:dyDescent="0.3">
      <c r="A101" s="390" t="s">
        <v>1389</v>
      </c>
      <c r="B101" s="389" t="s">
        <v>1381</v>
      </c>
      <c r="C101" s="389" t="s">
        <v>1107</v>
      </c>
      <c r="D101" s="389" t="s">
        <v>1152</v>
      </c>
      <c r="E101" s="389" t="s">
        <v>1390</v>
      </c>
      <c r="F101" s="389" t="str">
        <f t="shared" si="2"/>
        <v>284</v>
      </c>
      <c r="G101" s="389">
        <f t="shared" si="3"/>
        <v>284</v>
      </c>
      <c r="H101" s="390" t="s">
        <v>1391</v>
      </c>
    </row>
    <row r="102" spans="1:8" s="390" customFormat="1" x14ac:dyDescent="0.3">
      <c r="A102" s="390" t="s">
        <v>1392</v>
      </c>
      <c r="B102" s="389" t="s">
        <v>1141</v>
      </c>
      <c r="C102" s="389" t="s">
        <v>1107</v>
      </c>
      <c r="D102" s="389" t="s">
        <v>1152</v>
      </c>
      <c r="E102" s="389" t="s">
        <v>1393</v>
      </c>
      <c r="F102" s="389" t="str">
        <f t="shared" si="2"/>
        <v>178</v>
      </c>
      <c r="G102" s="389">
        <f t="shared" si="3"/>
        <v>178</v>
      </c>
      <c r="H102" s="390" t="s">
        <v>1394</v>
      </c>
    </row>
    <row r="103" spans="1:8" s="390" customFormat="1" x14ac:dyDescent="0.3">
      <c r="A103" s="390" t="s">
        <v>1395</v>
      </c>
      <c r="B103" s="389" t="s">
        <v>1276</v>
      </c>
      <c r="C103" s="389" t="s">
        <v>1107</v>
      </c>
      <c r="D103" s="389" t="s">
        <v>1152</v>
      </c>
      <c r="E103" s="389" t="s">
        <v>1396</v>
      </c>
      <c r="F103" s="389" t="str">
        <f t="shared" si="2"/>
        <v>310</v>
      </c>
      <c r="G103" s="389">
        <f t="shared" si="3"/>
        <v>310</v>
      </c>
      <c r="H103" s="390" t="s">
        <v>1397</v>
      </c>
    </row>
    <row r="104" spans="1:8" s="390" customFormat="1" x14ac:dyDescent="0.3">
      <c r="A104" s="390" t="s">
        <v>1398</v>
      </c>
      <c r="B104" s="389" t="s">
        <v>1381</v>
      </c>
      <c r="C104" s="389" t="s">
        <v>1090</v>
      </c>
      <c r="D104" s="389" t="s">
        <v>1091</v>
      </c>
      <c r="E104" s="389" t="s">
        <v>1399</v>
      </c>
      <c r="F104" s="389" t="str">
        <f t="shared" si="2"/>
        <v>326</v>
      </c>
      <c r="G104" s="389">
        <f t="shared" si="3"/>
        <v>326</v>
      </c>
      <c r="H104" s="394" t="s">
        <v>1694</v>
      </c>
    </row>
    <row r="105" spans="1:8" s="390" customFormat="1" x14ac:dyDescent="0.3">
      <c r="B105" s="389"/>
      <c r="C105" s="389"/>
      <c r="D105" s="389"/>
      <c r="E105" s="389"/>
      <c r="F105" s="389"/>
    </row>
    <row r="106" spans="1:8" s="390" customFormat="1" x14ac:dyDescent="0.3">
      <c r="A106" s="395" t="s">
        <v>1402</v>
      </c>
      <c r="B106" s="389"/>
      <c r="C106" s="389"/>
      <c r="D106" s="389"/>
      <c r="E106" s="389"/>
      <c r="F106" s="389"/>
    </row>
    <row r="107" spans="1:8" x14ac:dyDescent="0.3">
      <c r="B107" s="242"/>
      <c r="C107" s="242"/>
      <c r="D107" s="242"/>
      <c r="E107" s="242"/>
      <c r="F107" s="242"/>
    </row>
    <row r="108" spans="1:8" x14ac:dyDescent="0.3">
      <c r="B108" s="242"/>
      <c r="C108" s="242"/>
      <c r="D108" s="242"/>
      <c r="E108" s="242"/>
      <c r="F108" s="242"/>
    </row>
  </sheetData>
  <hyperlinks>
    <hyperlink ref="A106"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showGridLines="0" workbookViewId="0">
      <selection activeCell="N22" sqref="N22:N23"/>
    </sheetView>
  </sheetViews>
  <sheetFormatPr defaultColWidth="9.109375" defaultRowHeight="15.6" x14ac:dyDescent="0.3"/>
  <cols>
    <col min="1" max="1" width="22.33203125" style="142" customWidth="1"/>
    <col min="2" max="2" width="5" style="142" bestFit="1" customWidth="1"/>
    <col min="3" max="3" width="3.6640625" style="142" bestFit="1" customWidth="1"/>
    <col min="4" max="4" width="5" style="142" bestFit="1" customWidth="1"/>
    <col min="5" max="5" width="9.44140625" style="142" bestFit="1" customWidth="1"/>
    <col min="6" max="6" width="43.109375" style="142" bestFit="1" customWidth="1"/>
    <col min="7" max="7" width="5.109375" style="142" bestFit="1" customWidth="1"/>
    <col min="8" max="8" width="6.109375" style="142" bestFit="1" customWidth="1"/>
    <col min="9" max="16384" width="9.109375" style="142"/>
  </cols>
  <sheetData>
    <row r="1" spans="1:10" ht="23.4" x14ac:dyDescent="0.45">
      <c r="A1" s="33" t="s">
        <v>3026</v>
      </c>
      <c r="J1" s="634" t="s">
        <v>3016</v>
      </c>
    </row>
    <row r="2" spans="1:10" ht="23.4" x14ac:dyDescent="0.45">
      <c r="A2" s="33" t="s">
        <v>3027</v>
      </c>
    </row>
    <row r="4" spans="1:10" s="390" customFormat="1" x14ac:dyDescent="0.3">
      <c r="A4" s="388" t="s">
        <v>1401</v>
      </c>
      <c r="B4" s="389"/>
      <c r="C4" s="389"/>
      <c r="D4" s="389"/>
      <c r="E4" s="389"/>
      <c r="G4" s="389"/>
      <c r="H4" s="389"/>
    </row>
    <row r="5" spans="1:10" s="390" customFormat="1" ht="16.2" thickBot="1" x14ac:dyDescent="0.35">
      <c r="A5" s="391" t="s">
        <v>177</v>
      </c>
      <c r="B5" s="392" t="s">
        <v>1083</v>
      </c>
      <c r="C5" s="392" t="s">
        <v>1084</v>
      </c>
      <c r="D5" s="392" t="s">
        <v>1085</v>
      </c>
      <c r="E5" s="392" t="s">
        <v>1086</v>
      </c>
      <c r="F5" s="391" t="s">
        <v>1087</v>
      </c>
      <c r="G5" s="392" t="s">
        <v>1659</v>
      </c>
      <c r="H5" s="392" t="s">
        <v>176</v>
      </c>
    </row>
    <row r="6" spans="1:10" s="390" customFormat="1" x14ac:dyDescent="0.3">
      <c r="A6" s="390" t="s">
        <v>1088</v>
      </c>
      <c r="B6" s="389" t="s">
        <v>1089</v>
      </c>
      <c r="C6" s="389" t="s">
        <v>1090</v>
      </c>
      <c r="D6" s="389" t="s">
        <v>1091</v>
      </c>
      <c r="E6" s="389" t="s">
        <v>1092</v>
      </c>
      <c r="F6" s="390" t="s">
        <v>1093</v>
      </c>
      <c r="G6" s="389">
        <f>FIND(",",F6)</f>
        <v>8</v>
      </c>
      <c r="H6" s="393" t="str">
        <f>MID(F6,G6+2,2)</f>
        <v>TN</v>
      </c>
    </row>
    <row r="7" spans="1:10" s="390" customFormat="1" x14ac:dyDescent="0.3">
      <c r="A7" s="390" t="s">
        <v>1094</v>
      </c>
      <c r="B7" s="389" t="s">
        <v>1095</v>
      </c>
      <c r="C7" s="389" t="s">
        <v>1096</v>
      </c>
      <c r="D7" s="389" t="s">
        <v>1097</v>
      </c>
      <c r="E7" s="389" t="s">
        <v>1098</v>
      </c>
      <c r="F7" s="390" t="s">
        <v>1099</v>
      </c>
      <c r="G7" s="389">
        <f t="shared" ref="G7:G70" si="0">FIND(",",F7)</f>
        <v>8</v>
      </c>
      <c r="H7" s="393" t="str">
        <f t="shared" ref="H7:H70" si="1">MID(F7,G7+2,2)</f>
        <v>GA</v>
      </c>
    </row>
    <row r="8" spans="1:10" s="390" customFormat="1" x14ac:dyDescent="0.3">
      <c r="A8" s="390" t="s">
        <v>1100</v>
      </c>
      <c r="B8" s="389" t="s">
        <v>1095</v>
      </c>
      <c r="C8" s="389" t="s">
        <v>1101</v>
      </c>
      <c r="D8" s="389" t="s">
        <v>1102</v>
      </c>
      <c r="E8" s="389" t="s">
        <v>1103</v>
      </c>
      <c r="F8" s="390" t="s">
        <v>1104</v>
      </c>
      <c r="G8" s="389">
        <f t="shared" si="0"/>
        <v>13</v>
      </c>
      <c r="H8" s="393" t="str">
        <f t="shared" si="1"/>
        <v>GA</v>
      </c>
    </row>
    <row r="9" spans="1:10" s="390" customFormat="1" x14ac:dyDescent="0.3">
      <c r="A9" s="390" t="s">
        <v>1105</v>
      </c>
      <c r="B9" s="389" t="s">
        <v>1106</v>
      </c>
      <c r="C9" s="389" t="s">
        <v>1107</v>
      </c>
      <c r="D9" s="389" t="s">
        <v>1108</v>
      </c>
      <c r="E9" s="389" t="s">
        <v>1109</v>
      </c>
      <c r="F9" s="390" t="s">
        <v>1110</v>
      </c>
      <c r="G9" s="389">
        <f t="shared" si="0"/>
        <v>13</v>
      </c>
      <c r="H9" s="393" t="str">
        <f t="shared" si="1"/>
        <v>FL</v>
      </c>
    </row>
    <row r="10" spans="1:10" s="390" customFormat="1" x14ac:dyDescent="0.3">
      <c r="A10" s="390" t="s">
        <v>1111</v>
      </c>
      <c r="B10" s="389" t="s">
        <v>1112</v>
      </c>
      <c r="C10" s="389" t="s">
        <v>1101</v>
      </c>
      <c r="D10" s="389" t="s">
        <v>1102</v>
      </c>
      <c r="E10" s="389" t="s">
        <v>1113</v>
      </c>
      <c r="F10" s="390" t="s">
        <v>1114</v>
      </c>
      <c r="G10" s="389">
        <f t="shared" si="0"/>
        <v>9</v>
      </c>
      <c r="H10" s="393" t="str">
        <f t="shared" si="1"/>
        <v>GA</v>
      </c>
    </row>
    <row r="11" spans="1:10" s="390" customFormat="1" x14ac:dyDescent="0.3">
      <c r="A11" s="390" t="s">
        <v>1115</v>
      </c>
      <c r="B11" s="389" t="s">
        <v>1116</v>
      </c>
      <c r="C11" s="389" t="s">
        <v>1090</v>
      </c>
      <c r="D11" s="389" t="s">
        <v>1091</v>
      </c>
      <c r="E11" s="389" t="s">
        <v>1117</v>
      </c>
      <c r="F11" s="390" t="s">
        <v>1118</v>
      </c>
      <c r="G11" s="389">
        <f t="shared" si="0"/>
        <v>13</v>
      </c>
      <c r="H11" s="393" t="str">
        <f t="shared" si="1"/>
        <v>GA</v>
      </c>
    </row>
    <row r="12" spans="1:10" s="390" customFormat="1" x14ac:dyDescent="0.3">
      <c r="A12" s="390" t="s">
        <v>1119</v>
      </c>
      <c r="B12" s="389" t="s">
        <v>1116</v>
      </c>
      <c r="C12" s="389" t="s">
        <v>1101</v>
      </c>
      <c r="D12" s="389" t="s">
        <v>1102</v>
      </c>
      <c r="E12" s="389" t="s">
        <v>1120</v>
      </c>
      <c r="F12" s="390" t="s">
        <v>1121</v>
      </c>
      <c r="G12" s="389">
        <f t="shared" si="0"/>
        <v>9</v>
      </c>
      <c r="H12" s="393" t="str">
        <f t="shared" si="1"/>
        <v>MO</v>
      </c>
    </row>
    <row r="13" spans="1:10" s="390" customFormat="1" x14ac:dyDescent="0.3">
      <c r="A13" s="390" t="s">
        <v>1122</v>
      </c>
      <c r="B13" s="389" t="s">
        <v>1123</v>
      </c>
      <c r="C13" s="389" t="s">
        <v>1096</v>
      </c>
      <c r="D13" s="389" t="s">
        <v>1097</v>
      </c>
      <c r="E13" s="389" t="s">
        <v>1124</v>
      </c>
      <c r="F13" s="390" t="s">
        <v>1125</v>
      </c>
      <c r="G13" s="389">
        <f t="shared" si="0"/>
        <v>6</v>
      </c>
      <c r="H13" s="393" t="str">
        <f t="shared" si="1"/>
        <v>FL</v>
      </c>
    </row>
    <row r="14" spans="1:10" s="390" customFormat="1" x14ac:dyDescent="0.3">
      <c r="A14" s="390" t="s">
        <v>1126</v>
      </c>
      <c r="B14" s="389" t="s">
        <v>1127</v>
      </c>
      <c r="C14" s="389" t="s">
        <v>1101</v>
      </c>
      <c r="D14" s="389" t="s">
        <v>1102</v>
      </c>
      <c r="E14" s="389" t="s">
        <v>1128</v>
      </c>
      <c r="F14" s="390" t="s">
        <v>1129</v>
      </c>
      <c r="G14" s="389">
        <f t="shared" si="0"/>
        <v>12</v>
      </c>
      <c r="H14" s="393" t="str">
        <f t="shared" si="1"/>
        <v>SC</v>
      </c>
    </row>
    <row r="15" spans="1:10" s="390" customFormat="1" x14ac:dyDescent="0.3">
      <c r="A15" s="390" t="s">
        <v>1130</v>
      </c>
      <c r="B15" s="389" t="s">
        <v>1106</v>
      </c>
      <c r="C15" s="389" t="s">
        <v>1107</v>
      </c>
      <c r="D15" s="389" t="s">
        <v>1108</v>
      </c>
      <c r="E15" s="389" t="s">
        <v>1131</v>
      </c>
      <c r="F15" s="390" t="s">
        <v>1099</v>
      </c>
      <c r="G15" s="389">
        <f t="shared" si="0"/>
        <v>8</v>
      </c>
      <c r="H15" s="393" t="str">
        <f t="shared" si="1"/>
        <v>GA</v>
      </c>
    </row>
    <row r="16" spans="1:10" s="390" customFormat="1" x14ac:dyDescent="0.3">
      <c r="A16" s="390" t="s">
        <v>1132</v>
      </c>
      <c r="B16" s="389" t="s">
        <v>1095</v>
      </c>
      <c r="C16" s="389" t="s">
        <v>1090</v>
      </c>
      <c r="D16" s="389" t="s">
        <v>1091</v>
      </c>
      <c r="E16" s="389" t="s">
        <v>1133</v>
      </c>
      <c r="F16" s="390" t="s">
        <v>1134</v>
      </c>
      <c r="G16" s="389">
        <f t="shared" si="0"/>
        <v>11</v>
      </c>
      <c r="H16" s="393" t="str">
        <f t="shared" si="1"/>
        <v>VA</v>
      </c>
    </row>
    <row r="17" spans="1:8" s="390" customFormat="1" x14ac:dyDescent="0.3">
      <c r="A17" s="390" t="s">
        <v>1135</v>
      </c>
      <c r="B17" s="389" t="s">
        <v>1116</v>
      </c>
      <c r="C17" s="389" t="s">
        <v>1090</v>
      </c>
      <c r="D17" s="389" t="s">
        <v>1091</v>
      </c>
      <c r="E17" s="389" t="s">
        <v>1136</v>
      </c>
      <c r="F17" s="390" t="s">
        <v>1125</v>
      </c>
      <c r="G17" s="389">
        <f t="shared" si="0"/>
        <v>6</v>
      </c>
      <c r="H17" s="393" t="str">
        <f t="shared" si="1"/>
        <v>FL</v>
      </c>
    </row>
    <row r="18" spans="1:8" s="390" customFormat="1" x14ac:dyDescent="0.3">
      <c r="A18" s="390" t="s">
        <v>1137</v>
      </c>
      <c r="B18" s="389" t="s">
        <v>1127</v>
      </c>
      <c r="C18" s="389" t="s">
        <v>1096</v>
      </c>
      <c r="D18" s="389" t="s">
        <v>1097</v>
      </c>
      <c r="E18" s="389" t="s">
        <v>1138</v>
      </c>
      <c r="F18" s="390" t="s">
        <v>1139</v>
      </c>
      <c r="G18" s="389">
        <f t="shared" si="0"/>
        <v>11</v>
      </c>
      <c r="H18" s="393" t="str">
        <f t="shared" si="1"/>
        <v>GA</v>
      </c>
    </row>
    <row r="19" spans="1:8" s="390" customFormat="1" x14ac:dyDescent="0.3">
      <c r="A19" s="390" t="s">
        <v>1140</v>
      </c>
      <c r="B19" s="389" t="s">
        <v>1141</v>
      </c>
      <c r="C19" s="389" t="s">
        <v>1101</v>
      </c>
      <c r="D19" s="389" t="s">
        <v>1102</v>
      </c>
      <c r="E19" s="389" t="s">
        <v>1142</v>
      </c>
      <c r="F19" s="390" t="s">
        <v>1143</v>
      </c>
      <c r="G19" s="389">
        <f t="shared" si="0"/>
        <v>7</v>
      </c>
      <c r="H19" s="393" t="str">
        <f t="shared" si="1"/>
        <v>GA</v>
      </c>
    </row>
    <row r="20" spans="1:8" s="390" customFormat="1" x14ac:dyDescent="0.3">
      <c r="A20" s="390" t="s">
        <v>1144</v>
      </c>
      <c r="B20" s="389" t="s">
        <v>1127</v>
      </c>
      <c r="C20" s="389" t="s">
        <v>1096</v>
      </c>
      <c r="D20" s="389" t="s">
        <v>1097</v>
      </c>
      <c r="E20" s="389" t="s">
        <v>1145</v>
      </c>
      <c r="F20" s="390" t="s">
        <v>1146</v>
      </c>
      <c r="G20" s="389">
        <f t="shared" si="0"/>
        <v>7</v>
      </c>
      <c r="H20" s="393" t="str">
        <f t="shared" si="1"/>
        <v>GA</v>
      </c>
    </row>
    <row r="21" spans="1:8" s="390" customFormat="1" x14ac:dyDescent="0.3">
      <c r="A21" s="390" t="s">
        <v>1147</v>
      </c>
      <c r="B21" s="389" t="s">
        <v>1127</v>
      </c>
      <c r="C21" s="389" t="s">
        <v>1090</v>
      </c>
      <c r="D21" s="389" t="s">
        <v>1148</v>
      </c>
      <c r="E21" s="389" t="s">
        <v>1149</v>
      </c>
      <c r="F21" s="390" t="s">
        <v>1150</v>
      </c>
      <c r="G21" s="389">
        <f t="shared" si="0"/>
        <v>8</v>
      </c>
      <c r="H21" s="393" t="str">
        <f t="shared" si="1"/>
        <v>TN</v>
      </c>
    </row>
    <row r="22" spans="1:8" s="390" customFormat="1" x14ac:dyDescent="0.3">
      <c r="A22" s="390" t="s">
        <v>1151</v>
      </c>
      <c r="B22" s="389" t="s">
        <v>1127</v>
      </c>
      <c r="C22" s="389" t="s">
        <v>1107</v>
      </c>
      <c r="D22" s="389" t="s">
        <v>1152</v>
      </c>
      <c r="E22" s="389" t="s">
        <v>1153</v>
      </c>
      <c r="F22" s="390" t="s">
        <v>1154</v>
      </c>
      <c r="G22" s="389">
        <f t="shared" si="0"/>
        <v>8</v>
      </c>
      <c r="H22" s="393" t="str">
        <f t="shared" si="1"/>
        <v>GA</v>
      </c>
    </row>
    <row r="23" spans="1:8" s="390" customFormat="1" x14ac:dyDescent="0.3">
      <c r="A23" s="390" t="s">
        <v>1155</v>
      </c>
      <c r="B23" s="389" t="s">
        <v>1106</v>
      </c>
      <c r="C23" s="389" t="s">
        <v>1107</v>
      </c>
      <c r="D23" s="389" t="s">
        <v>1097</v>
      </c>
      <c r="E23" s="389" t="s">
        <v>1131</v>
      </c>
      <c r="F23" s="390" t="s">
        <v>1156</v>
      </c>
      <c r="G23" s="389">
        <f t="shared" si="0"/>
        <v>6</v>
      </c>
      <c r="H23" s="393" t="str">
        <f t="shared" si="1"/>
        <v>(P</v>
      </c>
    </row>
    <row r="24" spans="1:8" s="390" customFormat="1" x14ac:dyDescent="0.3">
      <c r="A24" s="390" t="s">
        <v>1157</v>
      </c>
      <c r="B24" s="389" t="s">
        <v>1127</v>
      </c>
      <c r="C24" s="389" t="s">
        <v>1096</v>
      </c>
      <c r="D24" s="389" t="s">
        <v>1097</v>
      </c>
      <c r="E24" s="389" t="s">
        <v>1158</v>
      </c>
      <c r="F24" s="390" t="s">
        <v>1159</v>
      </c>
      <c r="G24" s="389">
        <f t="shared" si="0"/>
        <v>13</v>
      </c>
      <c r="H24" s="393" t="str">
        <f t="shared" si="1"/>
        <v>FL</v>
      </c>
    </row>
    <row r="25" spans="1:8" s="390" customFormat="1" x14ac:dyDescent="0.3">
      <c r="A25" s="390" t="s">
        <v>1160</v>
      </c>
      <c r="B25" s="389" t="s">
        <v>1106</v>
      </c>
      <c r="C25" s="389" t="s">
        <v>1096</v>
      </c>
      <c r="D25" s="389" t="s">
        <v>1097</v>
      </c>
      <c r="E25" s="389" t="s">
        <v>1161</v>
      </c>
      <c r="F25" s="390" t="s">
        <v>1162</v>
      </c>
      <c r="G25" s="389">
        <f t="shared" si="0"/>
        <v>14</v>
      </c>
      <c r="H25" s="393" t="str">
        <f t="shared" si="1"/>
        <v>GA</v>
      </c>
    </row>
    <row r="26" spans="1:8" s="390" customFormat="1" x14ac:dyDescent="0.3">
      <c r="A26" s="390" t="s">
        <v>1163</v>
      </c>
      <c r="B26" s="389" t="s">
        <v>1095</v>
      </c>
      <c r="C26" s="389" t="s">
        <v>1096</v>
      </c>
      <c r="D26" s="389" t="s">
        <v>1097</v>
      </c>
      <c r="E26" s="389" t="s">
        <v>1164</v>
      </c>
      <c r="F26" s="390" t="s">
        <v>1165</v>
      </c>
      <c r="G26" s="389">
        <f t="shared" si="0"/>
        <v>8</v>
      </c>
      <c r="H26" s="393" t="str">
        <f t="shared" si="1"/>
        <v>GA</v>
      </c>
    </row>
    <row r="27" spans="1:8" s="390" customFormat="1" x14ac:dyDescent="0.3">
      <c r="A27" s="390" t="s">
        <v>1166</v>
      </c>
      <c r="B27" s="389" t="s">
        <v>1167</v>
      </c>
      <c r="C27" s="389" t="s">
        <v>1101</v>
      </c>
      <c r="D27" s="389" t="s">
        <v>1102</v>
      </c>
      <c r="E27" s="389" t="s">
        <v>1168</v>
      </c>
      <c r="F27" s="390" t="s">
        <v>1169</v>
      </c>
      <c r="G27" s="389">
        <f t="shared" si="0"/>
        <v>13</v>
      </c>
      <c r="H27" s="393" t="str">
        <f t="shared" si="1"/>
        <v>GA</v>
      </c>
    </row>
    <row r="28" spans="1:8" s="390" customFormat="1" x14ac:dyDescent="0.3">
      <c r="A28" s="390" t="s">
        <v>1170</v>
      </c>
      <c r="B28" s="389" t="s">
        <v>1095</v>
      </c>
      <c r="C28" s="389" t="s">
        <v>1107</v>
      </c>
      <c r="D28" s="389" t="s">
        <v>1108</v>
      </c>
      <c r="E28" s="389" t="s">
        <v>1171</v>
      </c>
      <c r="F28" s="390" t="s">
        <v>1172</v>
      </c>
      <c r="G28" s="389">
        <f t="shared" si="0"/>
        <v>7</v>
      </c>
      <c r="H28" s="393" t="str">
        <f t="shared" si="1"/>
        <v>SC</v>
      </c>
    </row>
    <row r="29" spans="1:8" s="390" customFormat="1" x14ac:dyDescent="0.3">
      <c r="A29" s="390" t="s">
        <v>1173</v>
      </c>
      <c r="B29" s="389" t="s">
        <v>1106</v>
      </c>
      <c r="C29" s="389" t="s">
        <v>1101</v>
      </c>
      <c r="D29" s="389" t="s">
        <v>1174</v>
      </c>
      <c r="E29" s="389" t="s">
        <v>1175</v>
      </c>
      <c r="F29" s="390" t="s">
        <v>1176</v>
      </c>
      <c r="G29" s="389">
        <f t="shared" si="0"/>
        <v>10</v>
      </c>
      <c r="H29" s="393" t="str">
        <f t="shared" si="1"/>
        <v>SC</v>
      </c>
    </row>
    <row r="30" spans="1:8" s="390" customFormat="1" x14ac:dyDescent="0.3">
      <c r="A30" s="390" t="s">
        <v>1177</v>
      </c>
      <c r="B30" s="389" t="s">
        <v>1178</v>
      </c>
      <c r="C30" s="389" t="s">
        <v>1096</v>
      </c>
      <c r="D30" s="389" t="s">
        <v>1097</v>
      </c>
      <c r="E30" s="389" t="s">
        <v>1113</v>
      </c>
      <c r="F30" s="390" t="s">
        <v>1179</v>
      </c>
      <c r="G30" s="389">
        <f t="shared" si="0"/>
        <v>10</v>
      </c>
      <c r="H30" s="393" t="str">
        <f t="shared" si="1"/>
        <v>GA</v>
      </c>
    </row>
    <row r="31" spans="1:8" s="390" customFormat="1" x14ac:dyDescent="0.3">
      <c r="A31" s="390" t="s">
        <v>1180</v>
      </c>
      <c r="B31" s="389" t="s">
        <v>1095</v>
      </c>
      <c r="C31" s="389" t="s">
        <v>1107</v>
      </c>
      <c r="D31" s="389" t="s">
        <v>1152</v>
      </c>
      <c r="E31" s="389" t="s">
        <v>1181</v>
      </c>
      <c r="F31" s="390" t="s">
        <v>1182</v>
      </c>
      <c r="G31" s="389">
        <f t="shared" si="0"/>
        <v>9</v>
      </c>
      <c r="H31" s="393" t="str">
        <f t="shared" si="1"/>
        <v>GA</v>
      </c>
    </row>
    <row r="32" spans="1:8" s="390" customFormat="1" x14ac:dyDescent="0.3">
      <c r="A32" s="390" t="s">
        <v>1183</v>
      </c>
      <c r="B32" s="389" t="s">
        <v>1112</v>
      </c>
      <c r="C32" s="389" t="s">
        <v>1096</v>
      </c>
      <c r="D32" s="389" t="s">
        <v>1097</v>
      </c>
      <c r="E32" s="389" t="s">
        <v>1184</v>
      </c>
      <c r="F32" s="390" t="s">
        <v>1185</v>
      </c>
      <c r="G32" s="389">
        <f t="shared" si="0"/>
        <v>9</v>
      </c>
      <c r="H32" s="393" t="str">
        <f t="shared" si="1"/>
        <v>GA</v>
      </c>
    </row>
    <row r="33" spans="1:8" s="390" customFormat="1" x14ac:dyDescent="0.3">
      <c r="A33" s="390" t="s">
        <v>1186</v>
      </c>
      <c r="B33" s="389" t="s">
        <v>1127</v>
      </c>
      <c r="C33" s="389" t="s">
        <v>1101</v>
      </c>
      <c r="D33" s="389" t="s">
        <v>1102</v>
      </c>
      <c r="E33" s="389" t="s">
        <v>1187</v>
      </c>
      <c r="F33" s="390" t="s">
        <v>1188</v>
      </c>
      <c r="G33" s="389">
        <f t="shared" si="0"/>
        <v>7</v>
      </c>
      <c r="H33" s="393" t="str">
        <f t="shared" si="1"/>
        <v>GA</v>
      </c>
    </row>
    <row r="34" spans="1:8" s="390" customFormat="1" x14ac:dyDescent="0.3">
      <c r="A34" s="390" t="s">
        <v>1189</v>
      </c>
      <c r="B34" s="389" t="s">
        <v>1106</v>
      </c>
      <c r="C34" s="389" t="s">
        <v>1096</v>
      </c>
      <c r="D34" s="389" t="s">
        <v>1097</v>
      </c>
      <c r="E34" s="389" t="s">
        <v>1190</v>
      </c>
      <c r="F34" s="390" t="s">
        <v>1191</v>
      </c>
      <c r="G34" s="389">
        <f t="shared" si="0"/>
        <v>10</v>
      </c>
      <c r="H34" s="393" t="str">
        <f t="shared" si="1"/>
        <v>NC</v>
      </c>
    </row>
    <row r="35" spans="1:8" s="390" customFormat="1" x14ac:dyDescent="0.3">
      <c r="A35" s="390" t="s">
        <v>1192</v>
      </c>
      <c r="B35" s="389" t="s">
        <v>1095</v>
      </c>
      <c r="C35" s="389" t="s">
        <v>1101</v>
      </c>
      <c r="D35" s="389" t="s">
        <v>1102</v>
      </c>
      <c r="E35" s="389" t="s">
        <v>1193</v>
      </c>
      <c r="F35" s="390" t="s">
        <v>1194</v>
      </c>
      <c r="G35" s="389">
        <f t="shared" si="0"/>
        <v>9</v>
      </c>
      <c r="H35" s="393" t="str">
        <f t="shared" si="1"/>
        <v>GA</v>
      </c>
    </row>
    <row r="36" spans="1:8" s="390" customFormat="1" x14ac:dyDescent="0.3">
      <c r="A36" s="390" t="s">
        <v>1195</v>
      </c>
      <c r="B36" s="389" t="s">
        <v>1112</v>
      </c>
      <c r="C36" s="389" t="s">
        <v>1096</v>
      </c>
      <c r="D36" s="389" t="s">
        <v>1097</v>
      </c>
      <c r="E36" s="389" t="s">
        <v>1196</v>
      </c>
      <c r="F36" s="390" t="s">
        <v>1197</v>
      </c>
      <c r="G36" s="389">
        <f t="shared" si="0"/>
        <v>11</v>
      </c>
      <c r="H36" s="393" t="str">
        <f t="shared" si="1"/>
        <v>FL</v>
      </c>
    </row>
    <row r="37" spans="1:8" s="390" customFormat="1" x14ac:dyDescent="0.3">
      <c r="A37" s="390" t="s">
        <v>1198</v>
      </c>
      <c r="B37" s="389" t="s">
        <v>1106</v>
      </c>
      <c r="C37" s="389" t="s">
        <v>1107</v>
      </c>
      <c r="D37" s="389" t="s">
        <v>1152</v>
      </c>
      <c r="E37" s="389" t="s">
        <v>1164</v>
      </c>
      <c r="F37" s="390" t="s">
        <v>1199</v>
      </c>
      <c r="G37" s="389">
        <f t="shared" si="0"/>
        <v>14</v>
      </c>
      <c r="H37" s="393" t="str">
        <f t="shared" si="1"/>
        <v>GA</v>
      </c>
    </row>
    <row r="38" spans="1:8" s="390" customFormat="1" x14ac:dyDescent="0.3">
      <c r="A38" s="390" t="s">
        <v>1200</v>
      </c>
      <c r="B38" s="389" t="s">
        <v>1201</v>
      </c>
      <c r="C38" s="389" t="s">
        <v>1101</v>
      </c>
      <c r="D38" s="389" t="s">
        <v>1102</v>
      </c>
      <c r="E38" s="389" t="s">
        <v>1202</v>
      </c>
      <c r="F38" s="390" t="s">
        <v>1203</v>
      </c>
      <c r="G38" s="389">
        <f t="shared" si="0"/>
        <v>10</v>
      </c>
      <c r="H38" s="393" t="str">
        <f t="shared" si="1"/>
        <v>CA</v>
      </c>
    </row>
    <row r="39" spans="1:8" s="390" customFormat="1" x14ac:dyDescent="0.3">
      <c r="A39" s="390" t="s">
        <v>1204</v>
      </c>
      <c r="B39" s="389" t="s">
        <v>1112</v>
      </c>
      <c r="C39" s="389" t="s">
        <v>1107</v>
      </c>
      <c r="D39" s="389" t="s">
        <v>1152</v>
      </c>
      <c r="E39" s="389" t="s">
        <v>1205</v>
      </c>
      <c r="F39" s="390" t="s">
        <v>1206</v>
      </c>
      <c r="G39" s="389">
        <f t="shared" si="0"/>
        <v>8</v>
      </c>
      <c r="H39" s="393" t="str">
        <f t="shared" si="1"/>
        <v>GA</v>
      </c>
    </row>
    <row r="40" spans="1:8" s="390" customFormat="1" x14ac:dyDescent="0.3">
      <c r="A40" s="390" t="s">
        <v>1207</v>
      </c>
      <c r="B40" s="389" t="s">
        <v>1208</v>
      </c>
      <c r="C40" s="389" t="s">
        <v>1090</v>
      </c>
      <c r="D40" s="389" t="s">
        <v>1091</v>
      </c>
      <c r="E40" s="389" t="s">
        <v>1209</v>
      </c>
      <c r="F40" s="390" t="s">
        <v>1210</v>
      </c>
      <c r="G40" s="389">
        <f t="shared" si="0"/>
        <v>12</v>
      </c>
      <c r="H40" s="393" t="str">
        <f t="shared" si="1"/>
        <v>GA</v>
      </c>
    </row>
    <row r="41" spans="1:8" s="390" customFormat="1" x14ac:dyDescent="0.3">
      <c r="A41" s="390" t="s">
        <v>1211</v>
      </c>
      <c r="B41" s="389" t="s">
        <v>1208</v>
      </c>
      <c r="C41" s="389" t="s">
        <v>1107</v>
      </c>
      <c r="D41" s="389" t="s">
        <v>1108</v>
      </c>
      <c r="E41" s="389" t="s">
        <v>1212</v>
      </c>
      <c r="F41" s="390" t="s">
        <v>1213</v>
      </c>
      <c r="G41" s="389">
        <f t="shared" si="0"/>
        <v>11</v>
      </c>
      <c r="H41" s="393" t="str">
        <f t="shared" si="1"/>
        <v>GA</v>
      </c>
    </row>
    <row r="42" spans="1:8" s="390" customFormat="1" x14ac:dyDescent="0.3">
      <c r="A42" s="390" t="s">
        <v>1214</v>
      </c>
      <c r="B42" s="389" t="s">
        <v>1106</v>
      </c>
      <c r="C42" s="389" t="s">
        <v>1090</v>
      </c>
      <c r="D42" s="389" t="s">
        <v>1091</v>
      </c>
      <c r="E42" s="389" t="s">
        <v>1215</v>
      </c>
      <c r="F42" s="390" t="s">
        <v>1216</v>
      </c>
      <c r="G42" s="389">
        <f t="shared" si="0"/>
        <v>8</v>
      </c>
      <c r="H42" s="393" t="str">
        <f t="shared" si="1"/>
        <v>GA</v>
      </c>
    </row>
    <row r="43" spans="1:8" s="390" customFormat="1" x14ac:dyDescent="0.3">
      <c r="A43" s="390" t="s">
        <v>1217</v>
      </c>
      <c r="B43" s="389" t="s">
        <v>1208</v>
      </c>
      <c r="C43" s="389" t="s">
        <v>1107</v>
      </c>
      <c r="D43" s="389" t="s">
        <v>1152</v>
      </c>
      <c r="E43" s="389" t="s">
        <v>1218</v>
      </c>
      <c r="F43" s="390" t="s">
        <v>1219</v>
      </c>
      <c r="G43" s="389">
        <f t="shared" si="0"/>
        <v>13</v>
      </c>
      <c r="H43" s="393" t="str">
        <f t="shared" si="1"/>
        <v>MD</v>
      </c>
    </row>
    <row r="44" spans="1:8" s="390" customFormat="1" x14ac:dyDescent="0.3">
      <c r="A44" s="390" t="s">
        <v>1220</v>
      </c>
      <c r="B44" s="389" t="s">
        <v>1221</v>
      </c>
      <c r="C44" s="389" t="s">
        <v>1101</v>
      </c>
      <c r="D44" s="389" t="s">
        <v>1102</v>
      </c>
      <c r="E44" s="389" t="s">
        <v>1222</v>
      </c>
      <c r="F44" s="390" t="s">
        <v>1223</v>
      </c>
      <c r="G44" s="389">
        <f t="shared" si="0"/>
        <v>15</v>
      </c>
      <c r="H44" s="393" t="str">
        <f t="shared" si="1"/>
        <v>MD</v>
      </c>
    </row>
    <row r="45" spans="1:8" s="390" customFormat="1" x14ac:dyDescent="0.3">
      <c r="A45" s="390" t="s">
        <v>1224</v>
      </c>
      <c r="B45" s="389" t="s">
        <v>1106</v>
      </c>
      <c r="C45" s="389" t="s">
        <v>1101</v>
      </c>
      <c r="D45" s="389" t="s">
        <v>1102</v>
      </c>
      <c r="E45" s="389" t="s">
        <v>1131</v>
      </c>
      <c r="F45" s="390" t="s">
        <v>1225</v>
      </c>
      <c r="G45" s="389">
        <f t="shared" si="0"/>
        <v>11</v>
      </c>
      <c r="H45" s="393" t="str">
        <f t="shared" si="1"/>
        <v>GA</v>
      </c>
    </row>
    <row r="46" spans="1:8" s="390" customFormat="1" x14ac:dyDescent="0.3">
      <c r="A46" s="390" t="s">
        <v>1226</v>
      </c>
      <c r="B46" s="389" t="s">
        <v>275</v>
      </c>
      <c r="C46" s="389" t="s">
        <v>1101</v>
      </c>
      <c r="D46" s="389" t="s">
        <v>1102</v>
      </c>
      <c r="E46" s="389" t="s">
        <v>1227</v>
      </c>
      <c r="F46" s="390" t="s">
        <v>1228</v>
      </c>
      <c r="G46" s="389">
        <f t="shared" si="0"/>
        <v>11</v>
      </c>
      <c r="H46" s="393" t="str">
        <f t="shared" si="1"/>
        <v>GA</v>
      </c>
    </row>
    <row r="47" spans="1:8" s="390" customFormat="1" x14ac:dyDescent="0.3">
      <c r="A47" s="390" t="s">
        <v>1229</v>
      </c>
      <c r="B47" s="389" t="s">
        <v>1230</v>
      </c>
      <c r="C47" s="389" t="s">
        <v>1096</v>
      </c>
      <c r="D47" s="389" t="s">
        <v>1097</v>
      </c>
      <c r="E47" s="389" t="s">
        <v>1231</v>
      </c>
      <c r="F47" s="390" t="s">
        <v>1232</v>
      </c>
      <c r="G47" s="389">
        <f t="shared" si="0"/>
        <v>10</v>
      </c>
      <c r="H47" s="393" t="str">
        <f t="shared" si="1"/>
        <v>GA</v>
      </c>
    </row>
    <row r="48" spans="1:8" s="390" customFormat="1" x14ac:dyDescent="0.3">
      <c r="A48" s="390" t="s">
        <v>1233</v>
      </c>
      <c r="B48" s="389" t="s">
        <v>1208</v>
      </c>
      <c r="C48" s="389" t="s">
        <v>1101</v>
      </c>
      <c r="D48" s="389" t="s">
        <v>1102</v>
      </c>
      <c r="E48" s="389" t="s">
        <v>1234</v>
      </c>
      <c r="F48" s="390" t="s">
        <v>1235</v>
      </c>
      <c r="G48" s="389">
        <f t="shared" si="0"/>
        <v>9</v>
      </c>
      <c r="H48" s="393" t="str">
        <f t="shared" si="1"/>
        <v>SC</v>
      </c>
    </row>
    <row r="49" spans="1:8" s="390" customFormat="1" x14ac:dyDescent="0.3">
      <c r="A49" s="390" t="s">
        <v>1236</v>
      </c>
      <c r="B49" s="389" t="s">
        <v>275</v>
      </c>
      <c r="C49" s="389" t="s">
        <v>1107</v>
      </c>
      <c r="D49" s="389" t="s">
        <v>1108</v>
      </c>
      <c r="E49" s="389" t="s">
        <v>1237</v>
      </c>
      <c r="F49" s="390" t="s">
        <v>1238</v>
      </c>
      <c r="G49" s="389">
        <f t="shared" si="0"/>
        <v>10</v>
      </c>
      <c r="H49" s="393" t="str">
        <f t="shared" si="1"/>
        <v>GA</v>
      </c>
    </row>
    <row r="50" spans="1:8" s="390" customFormat="1" x14ac:dyDescent="0.3">
      <c r="A50" s="390" t="s">
        <v>1239</v>
      </c>
      <c r="B50" s="389" t="s">
        <v>1230</v>
      </c>
      <c r="C50" s="389" t="s">
        <v>1101</v>
      </c>
      <c r="D50" s="389" t="s">
        <v>1097</v>
      </c>
      <c r="E50" s="389" t="s">
        <v>1240</v>
      </c>
      <c r="F50" s="390" t="s">
        <v>1146</v>
      </c>
      <c r="G50" s="389">
        <f t="shared" si="0"/>
        <v>7</v>
      </c>
      <c r="H50" s="393" t="str">
        <f t="shared" si="1"/>
        <v>GA</v>
      </c>
    </row>
    <row r="51" spans="1:8" s="390" customFormat="1" x14ac:dyDescent="0.3">
      <c r="A51" s="390" t="s">
        <v>1241</v>
      </c>
      <c r="B51" s="389" t="s">
        <v>1221</v>
      </c>
      <c r="C51" s="389" t="s">
        <v>1096</v>
      </c>
      <c r="D51" s="389" t="s">
        <v>1097</v>
      </c>
      <c r="E51" s="389" t="s">
        <v>1242</v>
      </c>
      <c r="F51" s="390" t="s">
        <v>1114</v>
      </c>
      <c r="G51" s="389">
        <f t="shared" si="0"/>
        <v>9</v>
      </c>
      <c r="H51" s="393" t="str">
        <f t="shared" si="1"/>
        <v>GA</v>
      </c>
    </row>
    <row r="52" spans="1:8" s="390" customFormat="1" x14ac:dyDescent="0.3">
      <c r="A52" s="390" t="s">
        <v>1243</v>
      </c>
      <c r="B52" s="389" t="s">
        <v>1127</v>
      </c>
      <c r="C52" s="389" t="s">
        <v>1107</v>
      </c>
      <c r="D52" s="389" t="s">
        <v>1102</v>
      </c>
      <c r="E52" s="389" t="s">
        <v>1244</v>
      </c>
      <c r="F52" s="390" t="s">
        <v>1245</v>
      </c>
      <c r="G52" s="389">
        <f t="shared" si="0"/>
        <v>13</v>
      </c>
      <c r="H52" s="393" t="str">
        <f t="shared" si="1"/>
        <v>GA</v>
      </c>
    </row>
    <row r="53" spans="1:8" s="390" customFormat="1" x14ac:dyDescent="0.3">
      <c r="A53" s="390" t="s">
        <v>1246</v>
      </c>
      <c r="B53" s="389" t="s">
        <v>1208</v>
      </c>
      <c r="C53" s="389" t="s">
        <v>1096</v>
      </c>
      <c r="D53" s="389" t="s">
        <v>1097</v>
      </c>
      <c r="E53" s="389" t="s">
        <v>1247</v>
      </c>
      <c r="F53" s="390" t="s">
        <v>1248</v>
      </c>
      <c r="G53" s="389">
        <f t="shared" si="0"/>
        <v>12</v>
      </c>
      <c r="H53" s="393" t="str">
        <f t="shared" si="1"/>
        <v>GA</v>
      </c>
    </row>
    <row r="54" spans="1:8" s="390" customFormat="1" x14ac:dyDescent="0.3">
      <c r="A54" s="390" t="s">
        <v>1249</v>
      </c>
      <c r="B54" s="389" t="s">
        <v>1230</v>
      </c>
      <c r="C54" s="389" t="s">
        <v>1107</v>
      </c>
      <c r="D54" s="389" t="s">
        <v>1152</v>
      </c>
      <c r="E54" s="389" t="s">
        <v>1250</v>
      </c>
      <c r="F54" s="390" t="s">
        <v>1251</v>
      </c>
      <c r="G54" s="389">
        <f t="shared" si="0"/>
        <v>9</v>
      </c>
      <c r="H54" s="393" t="str">
        <f t="shared" si="1"/>
        <v>GA</v>
      </c>
    </row>
    <row r="55" spans="1:8" s="390" customFormat="1" x14ac:dyDescent="0.3">
      <c r="A55" s="390" t="s">
        <v>1252</v>
      </c>
      <c r="B55" s="389" t="s">
        <v>1230</v>
      </c>
      <c r="C55" s="389" t="s">
        <v>1107</v>
      </c>
      <c r="D55" s="389" t="s">
        <v>1152</v>
      </c>
      <c r="E55" s="389" t="s">
        <v>1253</v>
      </c>
      <c r="F55" s="390" t="s">
        <v>1254</v>
      </c>
      <c r="G55" s="389">
        <f t="shared" si="0"/>
        <v>14</v>
      </c>
      <c r="H55" s="393" t="str">
        <f t="shared" si="1"/>
        <v>FL</v>
      </c>
    </row>
    <row r="56" spans="1:8" s="390" customFormat="1" x14ac:dyDescent="0.3">
      <c r="A56" s="390" t="s">
        <v>1255</v>
      </c>
      <c r="B56" s="389" t="s">
        <v>1221</v>
      </c>
      <c r="C56" s="389" t="s">
        <v>1107</v>
      </c>
      <c r="D56" s="389" t="s">
        <v>1152</v>
      </c>
      <c r="E56" s="389" t="s">
        <v>1256</v>
      </c>
      <c r="F56" s="390" t="s">
        <v>1225</v>
      </c>
      <c r="G56" s="389">
        <f t="shared" si="0"/>
        <v>11</v>
      </c>
      <c r="H56" s="393" t="str">
        <f t="shared" si="1"/>
        <v>GA</v>
      </c>
    </row>
    <row r="57" spans="1:8" s="390" customFormat="1" x14ac:dyDescent="0.3">
      <c r="A57" s="390" t="s">
        <v>1257</v>
      </c>
      <c r="B57" s="389" t="s">
        <v>1221</v>
      </c>
      <c r="C57" s="389" t="s">
        <v>1107</v>
      </c>
      <c r="D57" s="389" t="s">
        <v>1152</v>
      </c>
      <c r="E57" s="389" t="s">
        <v>1258</v>
      </c>
      <c r="F57" s="390" t="s">
        <v>1259</v>
      </c>
      <c r="G57" s="389">
        <f t="shared" si="0"/>
        <v>8</v>
      </c>
      <c r="H57" s="393" t="str">
        <f t="shared" si="1"/>
        <v>GA</v>
      </c>
    </row>
    <row r="58" spans="1:8" s="390" customFormat="1" x14ac:dyDescent="0.3">
      <c r="A58" s="390" t="s">
        <v>1260</v>
      </c>
      <c r="B58" s="389" t="s">
        <v>1208</v>
      </c>
      <c r="C58" s="389" t="s">
        <v>1107</v>
      </c>
      <c r="D58" s="389" t="s">
        <v>1152</v>
      </c>
      <c r="E58" s="389" t="s">
        <v>1261</v>
      </c>
      <c r="F58" s="390" t="s">
        <v>1262</v>
      </c>
      <c r="G58" s="389">
        <f t="shared" si="0"/>
        <v>12</v>
      </c>
      <c r="H58" s="393" t="str">
        <f t="shared" si="1"/>
        <v>GA</v>
      </c>
    </row>
    <row r="59" spans="1:8" s="390" customFormat="1" x14ac:dyDescent="0.3">
      <c r="A59" s="390" t="s">
        <v>1263</v>
      </c>
      <c r="B59" s="389" t="s">
        <v>275</v>
      </c>
      <c r="C59" s="389" t="s">
        <v>1096</v>
      </c>
      <c r="D59" s="389" t="s">
        <v>1097</v>
      </c>
      <c r="E59" s="389" t="s">
        <v>1264</v>
      </c>
      <c r="F59" s="390" t="s">
        <v>1265</v>
      </c>
      <c r="G59" s="389">
        <f t="shared" si="0"/>
        <v>15</v>
      </c>
      <c r="H59" s="393" t="str">
        <f t="shared" si="1"/>
        <v>FL</v>
      </c>
    </row>
    <row r="60" spans="1:8" s="390" customFormat="1" x14ac:dyDescent="0.3">
      <c r="A60" s="390" t="s">
        <v>1266</v>
      </c>
      <c r="B60" s="389" t="s">
        <v>1267</v>
      </c>
      <c r="C60" s="389" t="s">
        <v>1101</v>
      </c>
      <c r="D60" s="389" t="s">
        <v>1102</v>
      </c>
      <c r="E60" s="389" t="s">
        <v>1268</v>
      </c>
      <c r="F60" s="390" t="s">
        <v>1269</v>
      </c>
      <c r="G60" s="389">
        <f t="shared" si="0"/>
        <v>10</v>
      </c>
      <c r="H60" s="393" t="str">
        <f t="shared" si="1"/>
        <v>GA</v>
      </c>
    </row>
    <row r="61" spans="1:8" s="390" customFormat="1" x14ac:dyDescent="0.3">
      <c r="A61" s="390" t="s">
        <v>1270</v>
      </c>
      <c r="B61" s="389" t="s">
        <v>1089</v>
      </c>
      <c r="C61" s="389" t="s">
        <v>1090</v>
      </c>
      <c r="D61" s="389" t="s">
        <v>1091</v>
      </c>
      <c r="E61" s="389" t="s">
        <v>1271</v>
      </c>
      <c r="F61" s="390" t="s">
        <v>1272</v>
      </c>
      <c r="G61" s="389">
        <f t="shared" si="0"/>
        <v>9</v>
      </c>
      <c r="H61" s="393" t="str">
        <f t="shared" si="1"/>
        <v>GA</v>
      </c>
    </row>
    <row r="62" spans="1:8" s="390" customFormat="1" x14ac:dyDescent="0.3">
      <c r="A62" s="390" t="s">
        <v>1273</v>
      </c>
      <c r="B62" s="389" t="s">
        <v>1208</v>
      </c>
      <c r="C62" s="389" t="s">
        <v>1096</v>
      </c>
      <c r="D62" s="389" t="s">
        <v>1097</v>
      </c>
      <c r="E62" s="389" t="s">
        <v>1131</v>
      </c>
      <c r="F62" s="390" t="s">
        <v>1274</v>
      </c>
      <c r="G62" s="389">
        <f t="shared" si="0"/>
        <v>9</v>
      </c>
      <c r="H62" s="393" t="str">
        <f t="shared" si="1"/>
        <v>GA</v>
      </c>
    </row>
    <row r="63" spans="1:8" s="390" customFormat="1" x14ac:dyDescent="0.3">
      <c r="A63" s="390" t="s">
        <v>1275</v>
      </c>
      <c r="B63" s="389" t="s">
        <v>1276</v>
      </c>
      <c r="C63" s="389" t="s">
        <v>1107</v>
      </c>
      <c r="D63" s="389" t="s">
        <v>1108</v>
      </c>
      <c r="E63" s="389" t="s">
        <v>1277</v>
      </c>
      <c r="F63" s="390" t="s">
        <v>1278</v>
      </c>
      <c r="G63" s="389">
        <f t="shared" si="0"/>
        <v>15</v>
      </c>
      <c r="H63" s="393" t="str">
        <f t="shared" si="1"/>
        <v>FL</v>
      </c>
    </row>
    <row r="64" spans="1:8" s="390" customFormat="1" x14ac:dyDescent="0.3">
      <c r="A64" s="390" t="s">
        <v>1279</v>
      </c>
      <c r="B64" s="389" t="s">
        <v>1201</v>
      </c>
      <c r="C64" s="389" t="s">
        <v>1101</v>
      </c>
      <c r="D64" s="389" t="s">
        <v>1102</v>
      </c>
      <c r="E64" s="389" t="s">
        <v>1280</v>
      </c>
      <c r="F64" s="390" t="s">
        <v>1281</v>
      </c>
      <c r="G64" s="389">
        <f t="shared" si="0"/>
        <v>11</v>
      </c>
      <c r="H64" s="393" t="str">
        <f t="shared" si="1"/>
        <v>FL</v>
      </c>
    </row>
    <row r="65" spans="1:8" s="390" customFormat="1" x14ac:dyDescent="0.3">
      <c r="A65" s="390" t="s">
        <v>1282</v>
      </c>
      <c r="B65" s="389" t="s">
        <v>275</v>
      </c>
      <c r="C65" s="389" t="s">
        <v>1107</v>
      </c>
      <c r="D65" s="389" t="s">
        <v>1152</v>
      </c>
      <c r="E65" s="389" t="s">
        <v>1283</v>
      </c>
      <c r="F65" s="390" t="s">
        <v>1284</v>
      </c>
      <c r="G65" s="389">
        <f t="shared" si="0"/>
        <v>9</v>
      </c>
      <c r="H65" s="393" t="str">
        <f t="shared" si="1"/>
        <v>GA</v>
      </c>
    </row>
    <row r="66" spans="1:8" s="390" customFormat="1" x14ac:dyDescent="0.3">
      <c r="A66" s="390" t="s">
        <v>1285</v>
      </c>
      <c r="B66" s="389" t="s">
        <v>1089</v>
      </c>
      <c r="C66" s="389" t="s">
        <v>1107</v>
      </c>
      <c r="D66" s="389" t="s">
        <v>1152</v>
      </c>
      <c r="E66" s="389" t="s">
        <v>1286</v>
      </c>
      <c r="F66" s="390" t="s">
        <v>1287</v>
      </c>
      <c r="G66" s="389">
        <f t="shared" si="0"/>
        <v>8</v>
      </c>
      <c r="H66" s="393" t="str">
        <f t="shared" si="1"/>
        <v>GA</v>
      </c>
    </row>
    <row r="67" spans="1:8" s="390" customFormat="1" x14ac:dyDescent="0.3">
      <c r="A67" s="390" t="s">
        <v>1288</v>
      </c>
      <c r="B67" s="389" t="s">
        <v>1289</v>
      </c>
      <c r="C67" s="389" t="s">
        <v>1107</v>
      </c>
      <c r="D67" s="389" t="s">
        <v>1152</v>
      </c>
      <c r="E67" s="389" t="s">
        <v>1290</v>
      </c>
      <c r="F67" s="390" t="s">
        <v>1291</v>
      </c>
      <c r="G67" s="389">
        <f t="shared" si="0"/>
        <v>11</v>
      </c>
      <c r="H67" s="393" t="str">
        <f t="shared" si="1"/>
        <v>GA</v>
      </c>
    </row>
    <row r="68" spans="1:8" s="390" customFormat="1" x14ac:dyDescent="0.3">
      <c r="A68" s="390" t="s">
        <v>1292</v>
      </c>
      <c r="B68" s="389" t="s">
        <v>15</v>
      </c>
      <c r="C68" s="389" t="s">
        <v>1101</v>
      </c>
      <c r="D68" s="389" t="s">
        <v>1102</v>
      </c>
      <c r="E68" s="389" t="s">
        <v>1293</v>
      </c>
      <c r="F68" s="390" t="s">
        <v>1294</v>
      </c>
      <c r="G68" s="389">
        <f t="shared" si="0"/>
        <v>12</v>
      </c>
      <c r="H68" s="393" t="str">
        <f t="shared" si="1"/>
        <v>AL</v>
      </c>
    </row>
    <row r="69" spans="1:8" s="390" customFormat="1" x14ac:dyDescent="0.3">
      <c r="A69" s="390" t="s">
        <v>1295</v>
      </c>
      <c r="B69" s="389" t="s">
        <v>1267</v>
      </c>
      <c r="C69" s="389" t="s">
        <v>1107</v>
      </c>
      <c r="D69" s="389" t="s">
        <v>1152</v>
      </c>
      <c r="E69" s="389" t="s">
        <v>1296</v>
      </c>
      <c r="F69" s="390" t="s">
        <v>1297</v>
      </c>
      <c r="G69" s="389">
        <f t="shared" si="0"/>
        <v>10</v>
      </c>
      <c r="H69" s="393" t="str">
        <f t="shared" si="1"/>
        <v>GA</v>
      </c>
    </row>
    <row r="70" spans="1:8" s="390" customFormat="1" x14ac:dyDescent="0.3">
      <c r="A70" s="390" t="s">
        <v>1298</v>
      </c>
      <c r="B70" s="389" t="s">
        <v>275</v>
      </c>
      <c r="C70" s="389" t="s">
        <v>1101</v>
      </c>
      <c r="D70" s="389" t="s">
        <v>1102</v>
      </c>
      <c r="E70" s="389" t="s">
        <v>1299</v>
      </c>
      <c r="F70" s="390" t="s">
        <v>1300</v>
      </c>
      <c r="G70" s="389">
        <f t="shared" si="0"/>
        <v>7</v>
      </c>
      <c r="H70" s="393" t="str">
        <f t="shared" si="1"/>
        <v>LA</v>
      </c>
    </row>
    <row r="71" spans="1:8" s="390" customFormat="1" x14ac:dyDescent="0.3">
      <c r="A71" s="390" t="s">
        <v>1301</v>
      </c>
      <c r="B71" s="389" t="s">
        <v>15</v>
      </c>
      <c r="C71" s="389" t="s">
        <v>1090</v>
      </c>
      <c r="D71" s="389" t="s">
        <v>1091</v>
      </c>
      <c r="E71" s="389" t="s">
        <v>1296</v>
      </c>
      <c r="F71" s="390" t="s">
        <v>1302</v>
      </c>
      <c r="G71" s="389">
        <f t="shared" ref="G71:G104" si="2">FIND(",",F71)</f>
        <v>7</v>
      </c>
      <c r="H71" s="393" t="str">
        <f t="shared" ref="H71:H104" si="3">MID(F71,G71+2,2)</f>
        <v>GA</v>
      </c>
    </row>
    <row r="72" spans="1:8" s="390" customFormat="1" x14ac:dyDescent="0.3">
      <c r="A72" s="390" t="s">
        <v>1303</v>
      </c>
      <c r="B72" s="389" t="s">
        <v>1089</v>
      </c>
      <c r="C72" s="389" t="s">
        <v>1096</v>
      </c>
      <c r="D72" s="389" t="s">
        <v>1097</v>
      </c>
      <c r="E72" s="389" t="s">
        <v>1304</v>
      </c>
      <c r="F72" s="390" t="s">
        <v>1305</v>
      </c>
      <c r="G72" s="389">
        <f t="shared" si="2"/>
        <v>13</v>
      </c>
      <c r="H72" s="393" t="str">
        <f t="shared" si="3"/>
        <v>AL</v>
      </c>
    </row>
    <row r="73" spans="1:8" s="390" customFormat="1" x14ac:dyDescent="0.3">
      <c r="A73" s="390" t="s">
        <v>1306</v>
      </c>
      <c r="B73" s="389" t="s">
        <v>275</v>
      </c>
      <c r="C73" s="389" t="s">
        <v>1101</v>
      </c>
      <c r="D73" s="389" t="s">
        <v>1097</v>
      </c>
      <c r="E73" s="389" t="s">
        <v>1307</v>
      </c>
      <c r="F73" s="390" t="s">
        <v>1308</v>
      </c>
      <c r="G73" s="389">
        <f t="shared" si="2"/>
        <v>7</v>
      </c>
      <c r="H73" s="393" t="str">
        <f t="shared" si="3"/>
        <v>GA</v>
      </c>
    </row>
    <row r="74" spans="1:8" s="390" customFormat="1" x14ac:dyDescent="0.3">
      <c r="A74" s="390" t="s">
        <v>1309</v>
      </c>
      <c r="B74" s="389" t="s">
        <v>1310</v>
      </c>
      <c r="C74" s="389" t="s">
        <v>1090</v>
      </c>
      <c r="D74" s="389" t="s">
        <v>1091</v>
      </c>
      <c r="E74" s="389" t="s">
        <v>1311</v>
      </c>
      <c r="F74" s="390" t="s">
        <v>1312</v>
      </c>
      <c r="G74" s="389">
        <f t="shared" si="2"/>
        <v>9</v>
      </c>
      <c r="H74" s="393" t="str">
        <f t="shared" si="3"/>
        <v>GA</v>
      </c>
    </row>
    <row r="75" spans="1:8" s="390" customFormat="1" x14ac:dyDescent="0.3">
      <c r="A75" s="390" t="s">
        <v>1313</v>
      </c>
      <c r="B75" s="389" t="s">
        <v>1089</v>
      </c>
      <c r="C75" s="389" t="s">
        <v>1096</v>
      </c>
      <c r="D75" s="389" t="s">
        <v>1097</v>
      </c>
      <c r="E75" s="389" t="s">
        <v>1314</v>
      </c>
      <c r="F75" s="390" t="s">
        <v>1315</v>
      </c>
      <c r="G75" s="389">
        <f t="shared" si="2"/>
        <v>11</v>
      </c>
      <c r="H75" s="393" t="str">
        <f t="shared" si="3"/>
        <v>GA</v>
      </c>
    </row>
    <row r="76" spans="1:8" s="390" customFormat="1" x14ac:dyDescent="0.3">
      <c r="A76" s="390" t="s">
        <v>1316</v>
      </c>
      <c r="B76" s="389" t="s">
        <v>1289</v>
      </c>
      <c r="C76" s="389" t="s">
        <v>1101</v>
      </c>
      <c r="D76" s="389" t="s">
        <v>1102</v>
      </c>
      <c r="E76" s="389" t="s">
        <v>1317</v>
      </c>
      <c r="F76" s="390" t="s">
        <v>1318</v>
      </c>
      <c r="G76" s="389">
        <f t="shared" si="2"/>
        <v>10</v>
      </c>
      <c r="H76" s="393" t="str">
        <f t="shared" si="3"/>
        <v>GA</v>
      </c>
    </row>
    <row r="77" spans="1:8" s="390" customFormat="1" x14ac:dyDescent="0.3">
      <c r="A77" s="390" t="s">
        <v>1319</v>
      </c>
      <c r="B77" s="389" t="s">
        <v>1289</v>
      </c>
      <c r="C77" s="389" t="s">
        <v>1107</v>
      </c>
      <c r="D77" s="389" t="s">
        <v>1108</v>
      </c>
      <c r="E77" s="389" t="s">
        <v>1320</v>
      </c>
      <c r="F77" s="390" t="s">
        <v>1321</v>
      </c>
      <c r="G77" s="389">
        <f t="shared" si="2"/>
        <v>11</v>
      </c>
      <c r="H77" s="393" t="str">
        <f t="shared" si="3"/>
        <v>GA</v>
      </c>
    </row>
    <row r="78" spans="1:8" s="390" customFormat="1" x14ac:dyDescent="0.3">
      <c r="A78" s="390" t="s">
        <v>1322</v>
      </c>
      <c r="B78" s="389" t="s">
        <v>275</v>
      </c>
      <c r="C78" s="389" t="s">
        <v>1107</v>
      </c>
      <c r="D78" s="389" t="s">
        <v>1152</v>
      </c>
      <c r="E78" s="389" t="s">
        <v>1323</v>
      </c>
      <c r="F78" s="390" t="s">
        <v>1324</v>
      </c>
      <c r="G78" s="389">
        <f t="shared" si="2"/>
        <v>8</v>
      </c>
      <c r="H78" s="393" t="str">
        <f t="shared" si="3"/>
        <v>GA</v>
      </c>
    </row>
    <row r="79" spans="1:8" s="390" customFormat="1" x14ac:dyDescent="0.3">
      <c r="A79" s="390" t="s">
        <v>1325</v>
      </c>
      <c r="B79" s="389" t="s">
        <v>1267</v>
      </c>
      <c r="C79" s="389" t="s">
        <v>1101</v>
      </c>
      <c r="D79" s="389" t="s">
        <v>1102</v>
      </c>
      <c r="E79" s="389" t="s">
        <v>1326</v>
      </c>
      <c r="F79" s="390" t="s">
        <v>1327</v>
      </c>
      <c r="G79" s="389">
        <f t="shared" si="2"/>
        <v>6</v>
      </c>
      <c r="H79" s="393" t="str">
        <f t="shared" si="3"/>
        <v>GA</v>
      </c>
    </row>
    <row r="80" spans="1:8" s="390" customFormat="1" x14ac:dyDescent="0.3">
      <c r="A80" s="390" t="s">
        <v>1328</v>
      </c>
      <c r="B80" s="389" t="s">
        <v>1289</v>
      </c>
      <c r="C80" s="389" t="s">
        <v>1096</v>
      </c>
      <c r="D80" s="389" t="s">
        <v>1102</v>
      </c>
      <c r="E80" s="389" t="s">
        <v>1329</v>
      </c>
      <c r="F80" s="390" t="s">
        <v>1330</v>
      </c>
      <c r="G80" s="389">
        <f t="shared" si="2"/>
        <v>10</v>
      </c>
      <c r="H80" s="393" t="str">
        <f t="shared" si="3"/>
        <v>NC</v>
      </c>
    </row>
    <row r="81" spans="1:8" s="390" customFormat="1" x14ac:dyDescent="0.3">
      <c r="A81" s="390" t="s">
        <v>1331</v>
      </c>
      <c r="B81" s="389" t="s">
        <v>1289</v>
      </c>
      <c r="C81" s="389" t="s">
        <v>1107</v>
      </c>
      <c r="D81" s="389" t="s">
        <v>1152</v>
      </c>
      <c r="E81" s="389" t="s">
        <v>1332</v>
      </c>
      <c r="F81" s="390" t="s">
        <v>1333</v>
      </c>
      <c r="G81" s="389">
        <f t="shared" si="2"/>
        <v>7</v>
      </c>
      <c r="H81" s="393" t="str">
        <f t="shared" si="3"/>
        <v>MS</v>
      </c>
    </row>
    <row r="82" spans="1:8" s="390" customFormat="1" x14ac:dyDescent="0.3">
      <c r="A82" s="390" t="s">
        <v>1334</v>
      </c>
      <c r="B82" s="389" t="s">
        <v>1267</v>
      </c>
      <c r="C82" s="389" t="s">
        <v>1101</v>
      </c>
      <c r="D82" s="389" t="s">
        <v>1102</v>
      </c>
      <c r="E82" s="389" t="s">
        <v>1335</v>
      </c>
      <c r="F82" s="390" t="s">
        <v>1336</v>
      </c>
      <c r="G82" s="389">
        <f t="shared" si="2"/>
        <v>7</v>
      </c>
      <c r="H82" s="393" t="str">
        <f t="shared" si="3"/>
        <v>GA</v>
      </c>
    </row>
    <row r="83" spans="1:8" s="390" customFormat="1" x14ac:dyDescent="0.3">
      <c r="A83" s="390" t="s">
        <v>1337</v>
      </c>
      <c r="B83" s="389" t="s">
        <v>1127</v>
      </c>
      <c r="C83" s="389" t="s">
        <v>1101</v>
      </c>
      <c r="D83" s="389" t="s">
        <v>1102</v>
      </c>
      <c r="E83" s="389" t="s">
        <v>1109</v>
      </c>
      <c r="F83" s="390" t="s">
        <v>1338</v>
      </c>
      <c r="G83" s="389">
        <f t="shared" si="2"/>
        <v>7</v>
      </c>
      <c r="H83" s="393" t="str">
        <f t="shared" si="3"/>
        <v>CT</v>
      </c>
    </row>
    <row r="84" spans="1:8" s="390" customFormat="1" x14ac:dyDescent="0.3">
      <c r="A84" s="390" t="s">
        <v>1339</v>
      </c>
      <c r="B84" s="389" t="s">
        <v>1123</v>
      </c>
      <c r="C84" s="389" t="s">
        <v>1101</v>
      </c>
      <c r="D84" s="389" t="s">
        <v>1102</v>
      </c>
      <c r="E84" s="389" t="s">
        <v>1340</v>
      </c>
      <c r="F84" s="390" t="s">
        <v>1121</v>
      </c>
      <c r="G84" s="389">
        <f t="shared" si="2"/>
        <v>9</v>
      </c>
      <c r="H84" s="393" t="str">
        <f t="shared" si="3"/>
        <v>MO</v>
      </c>
    </row>
    <row r="85" spans="1:8" s="390" customFormat="1" x14ac:dyDescent="0.3">
      <c r="A85" s="390" t="s">
        <v>1341</v>
      </c>
      <c r="B85" s="389" t="s">
        <v>1127</v>
      </c>
      <c r="C85" s="389" t="s">
        <v>1107</v>
      </c>
      <c r="D85" s="389" t="s">
        <v>1152</v>
      </c>
      <c r="E85" s="389" t="s">
        <v>1342</v>
      </c>
      <c r="F85" s="390" t="s">
        <v>1343</v>
      </c>
      <c r="G85" s="389">
        <f t="shared" si="2"/>
        <v>16</v>
      </c>
      <c r="H85" s="393" t="str">
        <f t="shared" si="3"/>
        <v>FL</v>
      </c>
    </row>
    <row r="86" spans="1:8" s="390" customFormat="1" x14ac:dyDescent="0.3">
      <c r="A86" s="390" t="s">
        <v>1344</v>
      </c>
      <c r="B86" s="389" t="s">
        <v>275</v>
      </c>
      <c r="C86" s="389" t="s">
        <v>1096</v>
      </c>
      <c r="D86" s="389" t="s">
        <v>1097</v>
      </c>
      <c r="E86" s="389" t="s">
        <v>1345</v>
      </c>
      <c r="F86" s="390" t="s">
        <v>1346</v>
      </c>
      <c r="G86" s="389">
        <f t="shared" si="2"/>
        <v>10</v>
      </c>
      <c r="H86" s="393" t="str">
        <f t="shared" si="3"/>
        <v>GA</v>
      </c>
    </row>
    <row r="87" spans="1:8" s="390" customFormat="1" x14ac:dyDescent="0.3">
      <c r="A87" s="390" t="s">
        <v>1347</v>
      </c>
      <c r="B87" s="389" t="s">
        <v>1123</v>
      </c>
      <c r="C87" s="389" t="s">
        <v>1090</v>
      </c>
      <c r="D87" s="389" t="s">
        <v>1091</v>
      </c>
      <c r="E87" s="389" t="s">
        <v>1348</v>
      </c>
      <c r="F87" s="390" t="s">
        <v>1349</v>
      </c>
      <c r="G87" s="389">
        <f t="shared" si="2"/>
        <v>9</v>
      </c>
      <c r="H87" s="393" t="str">
        <f t="shared" si="3"/>
        <v>GA</v>
      </c>
    </row>
    <row r="88" spans="1:8" s="390" customFormat="1" x14ac:dyDescent="0.3">
      <c r="A88" s="390" t="s">
        <v>1350</v>
      </c>
      <c r="B88" s="389" t="s">
        <v>1276</v>
      </c>
      <c r="C88" s="389" t="s">
        <v>1090</v>
      </c>
      <c r="D88" s="389" t="s">
        <v>1091</v>
      </c>
      <c r="E88" s="389" t="s">
        <v>1296</v>
      </c>
      <c r="F88" s="390" t="s">
        <v>1351</v>
      </c>
      <c r="G88" s="389">
        <f t="shared" si="2"/>
        <v>9</v>
      </c>
      <c r="H88" s="393" t="str">
        <f t="shared" si="3"/>
        <v>GA</v>
      </c>
    </row>
    <row r="89" spans="1:8" s="390" customFormat="1" x14ac:dyDescent="0.3">
      <c r="A89" s="390" t="s">
        <v>1352</v>
      </c>
      <c r="B89" s="389" t="s">
        <v>1123</v>
      </c>
      <c r="C89" s="389" t="s">
        <v>1107</v>
      </c>
      <c r="D89" s="389" t="s">
        <v>1097</v>
      </c>
      <c r="E89" s="389" t="s">
        <v>1353</v>
      </c>
      <c r="F89" s="390" t="s">
        <v>1354</v>
      </c>
      <c r="G89" s="389">
        <f t="shared" si="2"/>
        <v>12</v>
      </c>
      <c r="H89" s="393" t="str">
        <f t="shared" si="3"/>
        <v>GA</v>
      </c>
    </row>
    <row r="90" spans="1:8" s="390" customFormat="1" x14ac:dyDescent="0.3">
      <c r="A90" s="390" t="s">
        <v>1355</v>
      </c>
      <c r="B90" s="389" t="s">
        <v>275</v>
      </c>
      <c r="C90" s="389" t="s">
        <v>1090</v>
      </c>
      <c r="D90" s="389" t="s">
        <v>1091</v>
      </c>
      <c r="E90" s="389" t="s">
        <v>1356</v>
      </c>
      <c r="F90" s="390" t="s">
        <v>1357</v>
      </c>
      <c r="G90" s="389">
        <f t="shared" si="2"/>
        <v>9</v>
      </c>
      <c r="H90" s="393" t="str">
        <f t="shared" si="3"/>
        <v>GA</v>
      </c>
    </row>
    <row r="91" spans="1:8" s="390" customFormat="1" x14ac:dyDescent="0.3">
      <c r="A91" s="390" t="s">
        <v>1358</v>
      </c>
      <c r="B91" s="389" t="s">
        <v>1123</v>
      </c>
      <c r="C91" s="389" t="s">
        <v>1096</v>
      </c>
      <c r="D91" s="389" t="s">
        <v>1097</v>
      </c>
      <c r="E91" s="389" t="s">
        <v>1359</v>
      </c>
      <c r="F91" s="390" t="s">
        <v>1360</v>
      </c>
      <c r="G91" s="389">
        <f t="shared" si="2"/>
        <v>10</v>
      </c>
      <c r="H91" s="393" t="str">
        <f t="shared" si="3"/>
        <v>MA</v>
      </c>
    </row>
    <row r="92" spans="1:8" s="390" customFormat="1" x14ac:dyDescent="0.3">
      <c r="A92" s="390" t="s">
        <v>1361</v>
      </c>
      <c r="B92" s="389" t="s">
        <v>1123</v>
      </c>
      <c r="C92" s="389" t="s">
        <v>1101</v>
      </c>
      <c r="D92" s="389" t="s">
        <v>1102</v>
      </c>
      <c r="E92" s="389" t="s">
        <v>1362</v>
      </c>
      <c r="F92" s="390" t="s">
        <v>1363</v>
      </c>
      <c r="G92" s="389">
        <f t="shared" si="2"/>
        <v>9</v>
      </c>
      <c r="H92" s="393" t="str">
        <f t="shared" si="3"/>
        <v>GA</v>
      </c>
    </row>
    <row r="93" spans="1:8" s="390" customFormat="1" x14ac:dyDescent="0.3">
      <c r="A93" s="390" t="s">
        <v>1364</v>
      </c>
      <c r="B93" s="389" t="s">
        <v>275</v>
      </c>
      <c r="C93" s="389" t="s">
        <v>1090</v>
      </c>
      <c r="D93" s="389" t="s">
        <v>1091</v>
      </c>
      <c r="E93" s="389" t="s">
        <v>1359</v>
      </c>
      <c r="F93" s="390" t="s">
        <v>1365</v>
      </c>
      <c r="G93" s="389">
        <f t="shared" si="2"/>
        <v>5</v>
      </c>
      <c r="H93" s="393" t="str">
        <f t="shared" si="3"/>
        <v>IN</v>
      </c>
    </row>
    <row r="94" spans="1:8" s="390" customFormat="1" x14ac:dyDescent="0.3">
      <c r="A94" s="390" t="s">
        <v>1366</v>
      </c>
      <c r="B94" s="389" t="s">
        <v>1276</v>
      </c>
      <c r="C94" s="389" t="s">
        <v>1107</v>
      </c>
      <c r="D94" s="389" t="s">
        <v>1108</v>
      </c>
      <c r="E94" s="389" t="s">
        <v>1367</v>
      </c>
      <c r="F94" s="390" t="s">
        <v>1368</v>
      </c>
      <c r="G94" s="389">
        <f t="shared" si="2"/>
        <v>9</v>
      </c>
      <c r="H94" s="393" t="str">
        <f t="shared" si="3"/>
        <v>NJ</v>
      </c>
    </row>
    <row r="95" spans="1:8" s="390" customFormat="1" x14ac:dyDescent="0.3">
      <c r="A95" s="390" t="s">
        <v>1369</v>
      </c>
      <c r="B95" s="389" t="s">
        <v>1201</v>
      </c>
      <c r="C95" s="389" t="s">
        <v>1096</v>
      </c>
      <c r="D95" s="389" t="s">
        <v>1097</v>
      </c>
      <c r="E95" s="389" t="s">
        <v>1370</v>
      </c>
      <c r="F95" s="390" t="s">
        <v>1371</v>
      </c>
      <c r="G95" s="389">
        <f t="shared" si="2"/>
        <v>8</v>
      </c>
      <c r="H95" s="393" t="str">
        <f t="shared" si="3"/>
        <v>GA</v>
      </c>
    </row>
    <row r="96" spans="1:8" s="390" customFormat="1" x14ac:dyDescent="0.3">
      <c r="A96" s="390" t="s">
        <v>1372</v>
      </c>
      <c r="B96" s="389" t="s">
        <v>1373</v>
      </c>
      <c r="C96" s="389" t="s">
        <v>1107</v>
      </c>
      <c r="D96" s="389" t="s">
        <v>1374</v>
      </c>
      <c r="E96" s="389" t="s">
        <v>1375</v>
      </c>
      <c r="F96" s="390" t="s">
        <v>1376</v>
      </c>
      <c r="G96" s="389">
        <f t="shared" si="2"/>
        <v>7</v>
      </c>
      <c r="H96" s="393" t="str">
        <f t="shared" si="3"/>
        <v>GA</v>
      </c>
    </row>
    <row r="97" spans="1:8" s="390" customFormat="1" x14ac:dyDescent="0.3">
      <c r="A97" s="390" t="s">
        <v>1377</v>
      </c>
      <c r="B97" s="389" t="s">
        <v>275</v>
      </c>
      <c r="C97" s="389" t="s">
        <v>1096</v>
      </c>
      <c r="D97" s="389" t="s">
        <v>1097</v>
      </c>
      <c r="E97" s="389" t="s">
        <v>1378</v>
      </c>
      <c r="F97" s="390" t="s">
        <v>1379</v>
      </c>
      <c r="G97" s="389">
        <f t="shared" si="2"/>
        <v>14</v>
      </c>
      <c r="H97" s="393" t="str">
        <f t="shared" si="3"/>
        <v>GA</v>
      </c>
    </row>
    <row r="98" spans="1:8" s="390" customFormat="1" x14ac:dyDescent="0.3">
      <c r="A98" s="390" t="s">
        <v>1380</v>
      </c>
      <c r="B98" s="389" t="s">
        <v>1381</v>
      </c>
      <c r="C98" s="389" t="s">
        <v>1101</v>
      </c>
      <c r="D98" s="389" t="s">
        <v>1102</v>
      </c>
      <c r="E98" s="389" t="s">
        <v>1382</v>
      </c>
      <c r="F98" s="390" t="s">
        <v>1228</v>
      </c>
      <c r="G98" s="389">
        <f t="shared" si="2"/>
        <v>11</v>
      </c>
      <c r="H98" s="393" t="str">
        <f t="shared" si="3"/>
        <v>GA</v>
      </c>
    </row>
    <row r="99" spans="1:8" s="390" customFormat="1" x14ac:dyDescent="0.3">
      <c r="A99" s="390" t="s">
        <v>1383</v>
      </c>
      <c r="B99" s="389" t="s">
        <v>1276</v>
      </c>
      <c r="C99" s="389" t="s">
        <v>1107</v>
      </c>
      <c r="D99" s="389" t="s">
        <v>1108</v>
      </c>
      <c r="E99" s="389" t="s">
        <v>1384</v>
      </c>
      <c r="F99" s="390" t="s">
        <v>1385</v>
      </c>
      <c r="G99" s="389">
        <f t="shared" si="2"/>
        <v>8</v>
      </c>
      <c r="H99" s="393" t="str">
        <f t="shared" si="3"/>
        <v>FL</v>
      </c>
    </row>
    <row r="100" spans="1:8" s="390" customFormat="1" x14ac:dyDescent="0.3">
      <c r="A100" s="390" t="s">
        <v>1386</v>
      </c>
      <c r="B100" s="389" t="s">
        <v>1387</v>
      </c>
      <c r="C100" s="389" t="s">
        <v>1096</v>
      </c>
      <c r="D100" s="389" t="s">
        <v>1097</v>
      </c>
      <c r="E100" s="389" t="s">
        <v>1388</v>
      </c>
      <c r="F100" s="390" t="s">
        <v>1154</v>
      </c>
      <c r="G100" s="389">
        <f t="shared" si="2"/>
        <v>8</v>
      </c>
      <c r="H100" s="393" t="str">
        <f t="shared" si="3"/>
        <v>GA</v>
      </c>
    </row>
    <row r="101" spans="1:8" s="390" customFormat="1" x14ac:dyDescent="0.3">
      <c r="A101" s="390" t="s">
        <v>1389</v>
      </c>
      <c r="B101" s="389" t="s">
        <v>1381</v>
      </c>
      <c r="C101" s="389" t="s">
        <v>1107</v>
      </c>
      <c r="D101" s="389" t="s">
        <v>1152</v>
      </c>
      <c r="E101" s="389" t="s">
        <v>1390</v>
      </c>
      <c r="F101" s="390" t="s">
        <v>1391</v>
      </c>
      <c r="G101" s="389">
        <f t="shared" si="2"/>
        <v>9</v>
      </c>
      <c r="H101" s="393" t="str">
        <f t="shared" si="3"/>
        <v>GA</v>
      </c>
    </row>
    <row r="102" spans="1:8" s="390" customFormat="1" x14ac:dyDescent="0.3">
      <c r="A102" s="390" t="s">
        <v>1392</v>
      </c>
      <c r="B102" s="389" t="s">
        <v>1141</v>
      </c>
      <c r="C102" s="389" t="s">
        <v>1107</v>
      </c>
      <c r="D102" s="389" t="s">
        <v>1152</v>
      </c>
      <c r="E102" s="389" t="s">
        <v>1393</v>
      </c>
      <c r="F102" s="390" t="s">
        <v>1394</v>
      </c>
      <c r="G102" s="389">
        <f t="shared" si="2"/>
        <v>13</v>
      </c>
      <c r="H102" s="393" t="str">
        <f t="shared" si="3"/>
        <v>GA</v>
      </c>
    </row>
    <row r="103" spans="1:8" s="390" customFormat="1" x14ac:dyDescent="0.3">
      <c r="A103" s="390" t="s">
        <v>1395</v>
      </c>
      <c r="B103" s="389" t="s">
        <v>1276</v>
      </c>
      <c r="C103" s="389" t="s">
        <v>1107</v>
      </c>
      <c r="D103" s="389" t="s">
        <v>1152</v>
      </c>
      <c r="E103" s="389" t="s">
        <v>1396</v>
      </c>
      <c r="F103" s="390" t="s">
        <v>1397</v>
      </c>
      <c r="G103" s="389">
        <f t="shared" si="2"/>
        <v>11</v>
      </c>
      <c r="H103" s="393" t="str">
        <f t="shared" si="3"/>
        <v>NC</v>
      </c>
    </row>
    <row r="104" spans="1:8" s="390" customFormat="1" x14ac:dyDescent="0.3">
      <c r="A104" s="390" t="s">
        <v>1398</v>
      </c>
      <c r="B104" s="389" t="s">
        <v>1381</v>
      </c>
      <c r="C104" s="389" t="s">
        <v>1090</v>
      </c>
      <c r="D104" s="389" t="s">
        <v>1091</v>
      </c>
      <c r="E104" s="389" t="s">
        <v>1399</v>
      </c>
      <c r="F104" s="394" t="s">
        <v>1694</v>
      </c>
      <c r="G104" s="389">
        <f t="shared" si="2"/>
        <v>13</v>
      </c>
      <c r="H104" s="393" t="str">
        <f t="shared" si="3"/>
        <v>SC</v>
      </c>
    </row>
    <row r="105" spans="1:8" s="390" customFormat="1" x14ac:dyDescent="0.3">
      <c r="B105" s="389"/>
      <c r="C105" s="389"/>
      <c r="D105" s="389"/>
      <c r="E105" s="389"/>
      <c r="G105" s="389"/>
      <c r="H105" s="389"/>
    </row>
    <row r="106" spans="1:8" s="390" customFormat="1" x14ac:dyDescent="0.3">
      <c r="A106" s="395" t="s">
        <v>1402</v>
      </c>
      <c r="B106" s="389"/>
      <c r="C106" s="389"/>
      <c r="D106" s="389"/>
      <c r="E106" s="389"/>
      <c r="G106" s="389"/>
      <c r="H106" s="389"/>
    </row>
    <row r="107" spans="1:8" x14ac:dyDescent="0.3">
      <c r="B107" s="242"/>
      <c r="C107" s="242"/>
      <c r="D107" s="242"/>
      <c r="E107" s="242"/>
      <c r="G107" s="242"/>
      <c r="H107" s="242"/>
    </row>
    <row r="108" spans="1:8" x14ac:dyDescent="0.3">
      <c r="B108" s="242"/>
      <c r="C108" s="242"/>
      <c r="D108" s="242"/>
      <c r="E108" s="242"/>
      <c r="G108" s="242"/>
      <c r="H108" s="242"/>
    </row>
  </sheetData>
  <hyperlinks>
    <hyperlink ref="A106"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showGridLines="0" workbookViewId="0">
      <selection activeCell="G5" sqref="G5"/>
    </sheetView>
  </sheetViews>
  <sheetFormatPr defaultColWidth="9.109375" defaultRowHeight="15.6" x14ac:dyDescent="0.3"/>
  <cols>
    <col min="1" max="1" width="18.88671875" style="142" customWidth="1"/>
    <col min="2" max="5" width="9.109375" style="242"/>
    <col min="6" max="6" width="41.109375" style="142" customWidth="1"/>
    <col min="7" max="8" width="9.109375" style="242"/>
    <col min="9" max="16384" width="9.109375" style="142"/>
  </cols>
  <sheetData>
    <row r="1" spans="1:10" ht="23.4" x14ac:dyDescent="0.45">
      <c r="A1" s="366" t="s">
        <v>1658</v>
      </c>
      <c r="J1" s="634" t="s">
        <v>3016</v>
      </c>
    </row>
    <row r="3" spans="1:10" s="390" customFormat="1" x14ac:dyDescent="0.3">
      <c r="A3" s="388" t="s">
        <v>1401</v>
      </c>
      <c r="B3" s="389"/>
      <c r="C3" s="389"/>
      <c r="D3" s="389"/>
      <c r="E3" s="389"/>
      <c r="G3" s="389"/>
      <c r="H3" s="389"/>
    </row>
    <row r="4" spans="1:10" s="390" customFormat="1" ht="16.2" thickBot="1" x14ac:dyDescent="0.35">
      <c r="A4" s="391" t="s">
        <v>177</v>
      </c>
      <c r="B4" s="392" t="s">
        <v>1083</v>
      </c>
      <c r="C4" s="392" t="s">
        <v>1084</v>
      </c>
      <c r="D4" s="392" t="s">
        <v>1085</v>
      </c>
      <c r="E4" s="392" t="s">
        <v>1086</v>
      </c>
      <c r="F4" s="391" t="s">
        <v>1087</v>
      </c>
      <c r="G4" s="392" t="s">
        <v>1659</v>
      </c>
      <c r="H4" s="392" t="s">
        <v>176</v>
      </c>
    </row>
    <row r="5" spans="1:10" s="390" customFormat="1" x14ac:dyDescent="0.3">
      <c r="A5" s="390" t="s">
        <v>1088</v>
      </c>
      <c r="B5" s="389" t="s">
        <v>1089</v>
      </c>
      <c r="C5" s="389" t="s">
        <v>1090</v>
      </c>
      <c r="D5" s="389" t="s">
        <v>1091</v>
      </c>
      <c r="E5" s="389" t="s">
        <v>1092</v>
      </c>
      <c r="F5" s="390" t="s">
        <v>1093</v>
      </c>
      <c r="G5" s="393">
        <f>FIND(",",F5)</f>
        <v>8</v>
      </c>
      <c r="H5" s="389" t="str">
        <f>MID(F5,G5+2,2)</f>
        <v>TN</v>
      </c>
    </row>
    <row r="6" spans="1:10" s="390" customFormat="1" x14ac:dyDescent="0.3">
      <c r="A6" s="390" t="s">
        <v>1094</v>
      </c>
      <c r="B6" s="389" t="s">
        <v>1095</v>
      </c>
      <c r="C6" s="389" t="s">
        <v>1096</v>
      </c>
      <c r="D6" s="389" t="s">
        <v>1097</v>
      </c>
      <c r="E6" s="389" t="s">
        <v>1098</v>
      </c>
      <c r="F6" s="390" t="s">
        <v>1099</v>
      </c>
      <c r="G6" s="393">
        <f t="shared" ref="G6:G69" si="0">FIND(",",F6)</f>
        <v>8</v>
      </c>
      <c r="H6" s="389" t="str">
        <f t="shared" ref="H6:H69" si="1">MID(F6,G6+2,2)</f>
        <v>GA</v>
      </c>
    </row>
    <row r="7" spans="1:10" s="390" customFormat="1" x14ac:dyDescent="0.3">
      <c r="A7" s="390" t="s">
        <v>1100</v>
      </c>
      <c r="B7" s="389" t="s">
        <v>1095</v>
      </c>
      <c r="C7" s="389" t="s">
        <v>1101</v>
      </c>
      <c r="D7" s="389" t="s">
        <v>1102</v>
      </c>
      <c r="E7" s="389" t="s">
        <v>1103</v>
      </c>
      <c r="F7" s="390" t="s">
        <v>1104</v>
      </c>
      <c r="G7" s="393">
        <f t="shared" si="0"/>
        <v>13</v>
      </c>
      <c r="H7" s="389" t="str">
        <f t="shared" si="1"/>
        <v>GA</v>
      </c>
    </row>
    <row r="8" spans="1:10" s="390" customFormat="1" x14ac:dyDescent="0.3">
      <c r="A8" s="390" t="s">
        <v>1105</v>
      </c>
      <c r="B8" s="389" t="s">
        <v>1106</v>
      </c>
      <c r="C8" s="389" t="s">
        <v>1107</v>
      </c>
      <c r="D8" s="389" t="s">
        <v>1108</v>
      </c>
      <c r="E8" s="389" t="s">
        <v>1109</v>
      </c>
      <c r="F8" s="390" t="s">
        <v>1110</v>
      </c>
      <c r="G8" s="393">
        <f t="shared" si="0"/>
        <v>13</v>
      </c>
      <c r="H8" s="389" t="str">
        <f t="shared" si="1"/>
        <v>FL</v>
      </c>
    </row>
    <row r="9" spans="1:10" s="390" customFormat="1" x14ac:dyDescent="0.3">
      <c r="A9" s="390" t="s">
        <v>1111</v>
      </c>
      <c r="B9" s="389" t="s">
        <v>1112</v>
      </c>
      <c r="C9" s="389" t="s">
        <v>1101</v>
      </c>
      <c r="D9" s="389" t="s">
        <v>1102</v>
      </c>
      <c r="E9" s="389" t="s">
        <v>1113</v>
      </c>
      <c r="F9" s="390" t="s">
        <v>1114</v>
      </c>
      <c r="G9" s="393">
        <f t="shared" si="0"/>
        <v>9</v>
      </c>
      <c r="H9" s="389" t="str">
        <f t="shared" si="1"/>
        <v>GA</v>
      </c>
    </row>
    <row r="10" spans="1:10" s="390" customFormat="1" x14ac:dyDescent="0.3">
      <c r="A10" s="390" t="s">
        <v>1115</v>
      </c>
      <c r="B10" s="389" t="s">
        <v>1116</v>
      </c>
      <c r="C10" s="389" t="s">
        <v>1090</v>
      </c>
      <c r="D10" s="389" t="s">
        <v>1091</v>
      </c>
      <c r="E10" s="389" t="s">
        <v>1117</v>
      </c>
      <c r="F10" s="390" t="s">
        <v>1118</v>
      </c>
      <c r="G10" s="393">
        <f t="shared" si="0"/>
        <v>13</v>
      </c>
      <c r="H10" s="389" t="str">
        <f t="shared" si="1"/>
        <v>GA</v>
      </c>
    </row>
    <row r="11" spans="1:10" s="390" customFormat="1" x14ac:dyDescent="0.3">
      <c r="A11" s="390" t="s">
        <v>1119</v>
      </c>
      <c r="B11" s="389" t="s">
        <v>1116</v>
      </c>
      <c r="C11" s="389" t="s">
        <v>1101</v>
      </c>
      <c r="D11" s="389" t="s">
        <v>1102</v>
      </c>
      <c r="E11" s="389" t="s">
        <v>1120</v>
      </c>
      <c r="F11" s="390" t="s">
        <v>1121</v>
      </c>
      <c r="G11" s="393">
        <f t="shared" si="0"/>
        <v>9</v>
      </c>
      <c r="H11" s="389" t="str">
        <f t="shared" si="1"/>
        <v>MO</v>
      </c>
    </row>
    <row r="12" spans="1:10" s="390" customFormat="1" x14ac:dyDescent="0.3">
      <c r="A12" s="390" t="s">
        <v>1122</v>
      </c>
      <c r="B12" s="389" t="s">
        <v>1123</v>
      </c>
      <c r="C12" s="389" t="s">
        <v>1096</v>
      </c>
      <c r="D12" s="389" t="s">
        <v>1097</v>
      </c>
      <c r="E12" s="389" t="s">
        <v>1124</v>
      </c>
      <c r="F12" s="390" t="s">
        <v>1125</v>
      </c>
      <c r="G12" s="393">
        <f t="shared" si="0"/>
        <v>6</v>
      </c>
      <c r="H12" s="389" t="str">
        <f t="shared" si="1"/>
        <v>FL</v>
      </c>
    </row>
    <row r="13" spans="1:10" s="390" customFormat="1" x14ac:dyDescent="0.3">
      <c r="A13" s="390" t="s">
        <v>1126</v>
      </c>
      <c r="B13" s="389" t="s">
        <v>1127</v>
      </c>
      <c r="C13" s="389" t="s">
        <v>1101</v>
      </c>
      <c r="D13" s="389" t="s">
        <v>1102</v>
      </c>
      <c r="E13" s="389" t="s">
        <v>1128</v>
      </c>
      <c r="F13" s="390" t="s">
        <v>1129</v>
      </c>
      <c r="G13" s="393">
        <f t="shared" si="0"/>
        <v>12</v>
      </c>
      <c r="H13" s="389" t="str">
        <f t="shared" si="1"/>
        <v>SC</v>
      </c>
    </row>
    <row r="14" spans="1:10" s="390" customFormat="1" x14ac:dyDescent="0.3">
      <c r="A14" s="390" t="s">
        <v>1130</v>
      </c>
      <c r="B14" s="389" t="s">
        <v>1106</v>
      </c>
      <c r="C14" s="389" t="s">
        <v>1107</v>
      </c>
      <c r="D14" s="389" t="s">
        <v>1108</v>
      </c>
      <c r="E14" s="389" t="s">
        <v>1131</v>
      </c>
      <c r="F14" s="390" t="s">
        <v>1099</v>
      </c>
      <c r="G14" s="393">
        <f t="shared" si="0"/>
        <v>8</v>
      </c>
      <c r="H14" s="389" t="str">
        <f t="shared" si="1"/>
        <v>GA</v>
      </c>
    </row>
    <row r="15" spans="1:10" s="390" customFormat="1" x14ac:dyDescent="0.3">
      <c r="A15" s="390" t="s">
        <v>1132</v>
      </c>
      <c r="B15" s="389" t="s">
        <v>1095</v>
      </c>
      <c r="C15" s="389" t="s">
        <v>1090</v>
      </c>
      <c r="D15" s="389" t="s">
        <v>1091</v>
      </c>
      <c r="E15" s="389" t="s">
        <v>1133</v>
      </c>
      <c r="F15" s="390" t="s">
        <v>1134</v>
      </c>
      <c r="G15" s="393">
        <f t="shared" si="0"/>
        <v>11</v>
      </c>
      <c r="H15" s="389" t="str">
        <f t="shared" si="1"/>
        <v>VA</v>
      </c>
    </row>
    <row r="16" spans="1:10" s="390" customFormat="1" x14ac:dyDescent="0.3">
      <c r="A16" s="390" t="s">
        <v>1135</v>
      </c>
      <c r="B16" s="389" t="s">
        <v>1116</v>
      </c>
      <c r="C16" s="389" t="s">
        <v>1090</v>
      </c>
      <c r="D16" s="389" t="s">
        <v>1091</v>
      </c>
      <c r="E16" s="389" t="s">
        <v>1136</v>
      </c>
      <c r="F16" s="390" t="s">
        <v>1125</v>
      </c>
      <c r="G16" s="393">
        <f t="shared" si="0"/>
        <v>6</v>
      </c>
      <c r="H16" s="389" t="str">
        <f t="shared" si="1"/>
        <v>FL</v>
      </c>
    </row>
    <row r="17" spans="1:8" s="390" customFormat="1" x14ac:dyDescent="0.3">
      <c r="A17" s="390" t="s">
        <v>1137</v>
      </c>
      <c r="B17" s="389" t="s">
        <v>1127</v>
      </c>
      <c r="C17" s="389" t="s">
        <v>1096</v>
      </c>
      <c r="D17" s="389" t="s">
        <v>1097</v>
      </c>
      <c r="E17" s="389" t="s">
        <v>1138</v>
      </c>
      <c r="F17" s="390" t="s">
        <v>1139</v>
      </c>
      <c r="G17" s="393">
        <f t="shared" si="0"/>
        <v>11</v>
      </c>
      <c r="H17" s="389" t="str">
        <f t="shared" si="1"/>
        <v>GA</v>
      </c>
    </row>
    <row r="18" spans="1:8" s="390" customFormat="1" x14ac:dyDescent="0.3">
      <c r="A18" s="390" t="s">
        <v>1140</v>
      </c>
      <c r="B18" s="389" t="s">
        <v>1141</v>
      </c>
      <c r="C18" s="389" t="s">
        <v>1101</v>
      </c>
      <c r="D18" s="389" t="s">
        <v>1102</v>
      </c>
      <c r="E18" s="389" t="s">
        <v>1142</v>
      </c>
      <c r="F18" s="390" t="s">
        <v>1143</v>
      </c>
      <c r="G18" s="393">
        <f t="shared" si="0"/>
        <v>7</v>
      </c>
      <c r="H18" s="389" t="str">
        <f t="shared" si="1"/>
        <v>GA</v>
      </c>
    </row>
    <row r="19" spans="1:8" s="390" customFormat="1" x14ac:dyDescent="0.3">
      <c r="A19" s="390" t="s">
        <v>1144</v>
      </c>
      <c r="B19" s="389" t="s">
        <v>1127</v>
      </c>
      <c r="C19" s="389" t="s">
        <v>1096</v>
      </c>
      <c r="D19" s="389" t="s">
        <v>1097</v>
      </c>
      <c r="E19" s="389" t="s">
        <v>1145</v>
      </c>
      <c r="F19" s="390" t="s">
        <v>1146</v>
      </c>
      <c r="G19" s="393">
        <f t="shared" si="0"/>
        <v>7</v>
      </c>
      <c r="H19" s="389" t="str">
        <f t="shared" si="1"/>
        <v>GA</v>
      </c>
    </row>
    <row r="20" spans="1:8" s="390" customFormat="1" x14ac:dyDescent="0.3">
      <c r="A20" s="390" t="s">
        <v>1147</v>
      </c>
      <c r="B20" s="389" t="s">
        <v>1127</v>
      </c>
      <c r="C20" s="389" t="s">
        <v>1090</v>
      </c>
      <c r="D20" s="389" t="s">
        <v>1148</v>
      </c>
      <c r="E20" s="389" t="s">
        <v>1149</v>
      </c>
      <c r="F20" s="390" t="s">
        <v>1150</v>
      </c>
      <c r="G20" s="393">
        <f t="shared" si="0"/>
        <v>8</v>
      </c>
      <c r="H20" s="389" t="str">
        <f t="shared" si="1"/>
        <v>TN</v>
      </c>
    </row>
    <row r="21" spans="1:8" s="390" customFormat="1" x14ac:dyDescent="0.3">
      <c r="A21" s="390" t="s">
        <v>1151</v>
      </c>
      <c r="B21" s="389" t="s">
        <v>1127</v>
      </c>
      <c r="C21" s="389" t="s">
        <v>1107</v>
      </c>
      <c r="D21" s="389" t="s">
        <v>1152</v>
      </c>
      <c r="E21" s="389" t="s">
        <v>1153</v>
      </c>
      <c r="F21" s="390" t="s">
        <v>1154</v>
      </c>
      <c r="G21" s="393">
        <f t="shared" si="0"/>
        <v>8</v>
      </c>
      <c r="H21" s="389" t="str">
        <f t="shared" si="1"/>
        <v>GA</v>
      </c>
    </row>
    <row r="22" spans="1:8" s="390" customFormat="1" x14ac:dyDescent="0.3">
      <c r="A22" s="390" t="s">
        <v>1155</v>
      </c>
      <c r="B22" s="389" t="s">
        <v>1106</v>
      </c>
      <c r="C22" s="389" t="s">
        <v>1107</v>
      </c>
      <c r="D22" s="389" t="s">
        <v>1097</v>
      </c>
      <c r="E22" s="389" t="s">
        <v>1131</v>
      </c>
      <c r="F22" s="390" t="s">
        <v>1156</v>
      </c>
      <c r="G22" s="393">
        <f t="shared" si="0"/>
        <v>6</v>
      </c>
      <c r="H22" s="389" t="str">
        <f t="shared" si="1"/>
        <v>(P</v>
      </c>
    </row>
    <row r="23" spans="1:8" s="390" customFormat="1" x14ac:dyDescent="0.3">
      <c r="A23" s="390" t="s">
        <v>1157</v>
      </c>
      <c r="B23" s="389" t="s">
        <v>1127</v>
      </c>
      <c r="C23" s="389" t="s">
        <v>1096</v>
      </c>
      <c r="D23" s="389" t="s">
        <v>1097</v>
      </c>
      <c r="E23" s="389" t="s">
        <v>1158</v>
      </c>
      <c r="F23" s="390" t="s">
        <v>1159</v>
      </c>
      <c r="G23" s="393">
        <f t="shared" si="0"/>
        <v>13</v>
      </c>
      <c r="H23" s="389" t="str">
        <f t="shared" si="1"/>
        <v>FL</v>
      </c>
    </row>
    <row r="24" spans="1:8" s="390" customFormat="1" x14ac:dyDescent="0.3">
      <c r="A24" s="390" t="s">
        <v>1160</v>
      </c>
      <c r="B24" s="389" t="s">
        <v>1106</v>
      </c>
      <c r="C24" s="389" t="s">
        <v>1096</v>
      </c>
      <c r="D24" s="389" t="s">
        <v>1097</v>
      </c>
      <c r="E24" s="389" t="s">
        <v>1161</v>
      </c>
      <c r="F24" s="390" t="s">
        <v>1162</v>
      </c>
      <c r="G24" s="393">
        <f t="shared" si="0"/>
        <v>14</v>
      </c>
      <c r="H24" s="389" t="str">
        <f t="shared" si="1"/>
        <v>GA</v>
      </c>
    </row>
    <row r="25" spans="1:8" s="390" customFormat="1" x14ac:dyDescent="0.3">
      <c r="A25" s="390" t="s">
        <v>1163</v>
      </c>
      <c r="B25" s="389" t="s">
        <v>1095</v>
      </c>
      <c r="C25" s="389" t="s">
        <v>1096</v>
      </c>
      <c r="D25" s="389" t="s">
        <v>1097</v>
      </c>
      <c r="E25" s="389" t="s">
        <v>1164</v>
      </c>
      <c r="F25" s="390" t="s">
        <v>1165</v>
      </c>
      <c r="G25" s="393">
        <f t="shared" si="0"/>
        <v>8</v>
      </c>
      <c r="H25" s="389" t="str">
        <f t="shared" si="1"/>
        <v>GA</v>
      </c>
    </row>
    <row r="26" spans="1:8" s="390" customFormat="1" x14ac:dyDescent="0.3">
      <c r="A26" s="390" t="s">
        <v>1166</v>
      </c>
      <c r="B26" s="389" t="s">
        <v>1167</v>
      </c>
      <c r="C26" s="389" t="s">
        <v>1101</v>
      </c>
      <c r="D26" s="389" t="s">
        <v>1102</v>
      </c>
      <c r="E26" s="389" t="s">
        <v>1168</v>
      </c>
      <c r="F26" s="390" t="s">
        <v>1169</v>
      </c>
      <c r="G26" s="393">
        <f t="shared" si="0"/>
        <v>13</v>
      </c>
      <c r="H26" s="389" t="str">
        <f t="shared" si="1"/>
        <v>GA</v>
      </c>
    </row>
    <row r="27" spans="1:8" s="390" customFormat="1" x14ac:dyDescent="0.3">
      <c r="A27" s="390" t="s">
        <v>1170</v>
      </c>
      <c r="B27" s="389" t="s">
        <v>1095</v>
      </c>
      <c r="C27" s="389" t="s">
        <v>1107</v>
      </c>
      <c r="D27" s="389" t="s">
        <v>1108</v>
      </c>
      <c r="E27" s="389" t="s">
        <v>1171</v>
      </c>
      <c r="F27" s="390" t="s">
        <v>1172</v>
      </c>
      <c r="G27" s="393">
        <f t="shared" si="0"/>
        <v>7</v>
      </c>
      <c r="H27" s="389" t="str">
        <f t="shared" si="1"/>
        <v>SC</v>
      </c>
    </row>
    <row r="28" spans="1:8" s="390" customFormat="1" x14ac:dyDescent="0.3">
      <c r="A28" s="390" t="s">
        <v>1173</v>
      </c>
      <c r="B28" s="389" t="s">
        <v>1106</v>
      </c>
      <c r="C28" s="389" t="s">
        <v>1101</v>
      </c>
      <c r="D28" s="389" t="s">
        <v>1174</v>
      </c>
      <c r="E28" s="389" t="s">
        <v>1175</v>
      </c>
      <c r="F28" s="390" t="s">
        <v>1176</v>
      </c>
      <c r="G28" s="393">
        <f t="shared" si="0"/>
        <v>10</v>
      </c>
      <c r="H28" s="389" t="str">
        <f t="shared" si="1"/>
        <v>SC</v>
      </c>
    </row>
    <row r="29" spans="1:8" s="390" customFormat="1" x14ac:dyDescent="0.3">
      <c r="A29" s="390" t="s">
        <v>1177</v>
      </c>
      <c r="B29" s="389" t="s">
        <v>1178</v>
      </c>
      <c r="C29" s="389" t="s">
        <v>1096</v>
      </c>
      <c r="D29" s="389" t="s">
        <v>1097</v>
      </c>
      <c r="E29" s="389" t="s">
        <v>1113</v>
      </c>
      <c r="F29" s="390" t="s">
        <v>1179</v>
      </c>
      <c r="G29" s="393">
        <f t="shared" si="0"/>
        <v>10</v>
      </c>
      <c r="H29" s="389" t="str">
        <f t="shared" si="1"/>
        <v>GA</v>
      </c>
    </row>
    <row r="30" spans="1:8" s="390" customFormat="1" x14ac:dyDescent="0.3">
      <c r="A30" s="390" t="s">
        <v>1180</v>
      </c>
      <c r="B30" s="389" t="s">
        <v>1095</v>
      </c>
      <c r="C30" s="389" t="s">
        <v>1107</v>
      </c>
      <c r="D30" s="389" t="s">
        <v>1152</v>
      </c>
      <c r="E30" s="389" t="s">
        <v>1181</v>
      </c>
      <c r="F30" s="390" t="s">
        <v>1182</v>
      </c>
      <c r="G30" s="393">
        <f t="shared" si="0"/>
        <v>9</v>
      </c>
      <c r="H30" s="389" t="str">
        <f t="shared" si="1"/>
        <v>GA</v>
      </c>
    </row>
    <row r="31" spans="1:8" s="390" customFormat="1" x14ac:dyDescent="0.3">
      <c r="A31" s="390" t="s">
        <v>1183</v>
      </c>
      <c r="B31" s="389" t="s">
        <v>1112</v>
      </c>
      <c r="C31" s="389" t="s">
        <v>1096</v>
      </c>
      <c r="D31" s="389" t="s">
        <v>1097</v>
      </c>
      <c r="E31" s="389" t="s">
        <v>1184</v>
      </c>
      <c r="F31" s="390" t="s">
        <v>1185</v>
      </c>
      <c r="G31" s="393">
        <f t="shared" si="0"/>
        <v>9</v>
      </c>
      <c r="H31" s="389" t="str">
        <f t="shared" si="1"/>
        <v>GA</v>
      </c>
    </row>
    <row r="32" spans="1:8" s="390" customFormat="1" x14ac:dyDescent="0.3">
      <c r="A32" s="390" t="s">
        <v>1186</v>
      </c>
      <c r="B32" s="389" t="s">
        <v>1127</v>
      </c>
      <c r="C32" s="389" t="s">
        <v>1101</v>
      </c>
      <c r="D32" s="389" t="s">
        <v>1102</v>
      </c>
      <c r="E32" s="389" t="s">
        <v>1187</v>
      </c>
      <c r="F32" s="390" t="s">
        <v>1188</v>
      </c>
      <c r="G32" s="393">
        <f t="shared" si="0"/>
        <v>7</v>
      </c>
      <c r="H32" s="389" t="str">
        <f t="shared" si="1"/>
        <v>GA</v>
      </c>
    </row>
    <row r="33" spans="1:8" s="390" customFormat="1" x14ac:dyDescent="0.3">
      <c r="A33" s="390" t="s">
        <v>1189</v>
      </c>
      <c r="B33" s="389" t="s">
        <v>1106</v>
      </c>
      <c r="C33" s="389" t="s">
        <v>1096</v>
      </c>
      <c r="D33" s="389" t="s">
        <v>1097</v>
      </c>
      <c r="E33" s="389" t="s">
        <v>1190</v>
      </c>
      <c r="F33" s="390" t="s">
        <v>1191</v>
      </c>
      <c r="G33" s="393">
        <f t="shared" si="0"/>
        <v>10</v>
      </c>
      <c r="H33" s="389" t="str">
        <f t="shared" si="1"/>
        <v>NC</v>
      </c>
    </row>
    <row r="34" spans="1:8" s="390" customFormat="1" x14ac:dyDescent="0.3">
      <c r="A34" s="390" t="s">
        <v>1192</v>
      </c>
      <c r="B34" s="389" t="s">
        <v>1095</v>
      </c>
      <c r="C34" s="389" t="s">
        <v>1101</v>
      </c>
      <c r="D34" s="389" t="s">
        <v>1102</v>
      </c>
      <c r="E34" s="389" t="s">
        <v>1193</v>
      </c>
      <c r="F34" s="390" t="s">
        <v>1194</v>
      </c>
      <c r="G34" s="393">
        <f t="shared" si="0"/>
        <v>9</v>
      </c>
      <c r="H34" s="389" t="str">
        <f t="shared" si="1"/>
        <v>GA</v>
      </c>
    </row>
    <row r="35" spans="1:8" s="390" customFormat="1" x14ac:dyDescent="0.3">
      <c r="A35" s="390" t="s">
        <v>1195</v>
      </c>
      <c r="B35" s="389" t="s">
        <v>1112</v>
      </c>
      <c r="C35" s="389" t="s">
        <v>1096</v>
      </c>
      <c r="D35" s="389" t="s">
        <v>1097</v>
      </c>
      <c r="E35" s="389" t="s">
        <v>1196</v>
      </c>
      <c r="F35" s="390" t="s">
        <v>1197</v>
      </c>
      <c r="G35" s="393">
        <f t="shared" si="0"/>
        <v>11</v>
      </c>
      <c r="H35" s="389" t="str">
        <f t="shared" si="1"/>
        <v>FL</v>
      </c>
    </row>
    <row r="36" spans="1:8" s="390" customFormat="1" x14ac:dyDescent="0.3">
      <c r="A36" s="390" t="s">
        <v>1198</v>
      </c>
      <c r="B36" s="389" t="s">
        <v>1106</v>
      </c>
      <c r="C36" s="389" t="s">
        <v>1107</v>
      </c>
      <c r="D36" s="389" t="s">
        <v>1152</v>
      </c>
      <c r="E36" s="389" t="s">
        <v>1164</v>
      </c>
      <c r="F36" s="390" t="s">
        <v>1199</v>
      </c>
      <c r="G36" s="393">
        <f t="shared" si="0"/>
        <v>14</v>
      </c>
      <c r="H36" s="389" t="str">
        <f t="shared" si="1"/>
        <v>GA</v>
      </c>
    </row>
    <row r="37" spans="1:8" s="390" customFormat="1" x14ac:dyDescent="0.3">
      <c r="A37" s="390" t="s">
        <v>1200</v>
      </c>
      <c r="B37" s="389" t="s">
        <v>1201</v>
      </c>
      <c r="C37" s="389" t="s">
        <v>1101</v>
      </c>
      <c r="D37" s="389" t="s">
        <v>1102</v>
      </c>
      <c r="E37" s="389" t="s">
        <v>1202</v>
      </c>
      <c r="F37" s="390" t="s">
        <v>1203</v>
      </c>
      <c r="G37" s="393">
        <f t="shared" si="0"/>
        <v>10</v>
      </c>
      <c r="H37" s="389" t="str">
        <f t="shared" si="1"/>
        <v>CA</v>
      </c>
    </row>
    <row r="38" spans="1:8" s="390" customFormat="1" x14ac:dyDescent="0.3">
      <c r="A38" s="390" t="s">
        <v>1204</v>
      </c>
      <c r="B38" s="389" t="s">
        <v>1112</v>
      </c>
      <c r="C38" s="389" t="s">
        <v>1107</v>
      </c>
      <c r="D38" s="389" t="s">
        <v>1152</v>
      </c>
      <c r="E38" s="389" t="s">
        <v>1205</v>
      </c>
      <c r="F38" s="390" t="s">
        <v>1206</v>
      </c>
      <c r="G38" s="393">
        <f t="shared" si="0"/>
        <v>8</v>
      </c>
      <c r="H38" s="389" t="str">
        <f t="shared" si="1"/>
        <v>GA</v>
      </c>
    </row>
    <row r="39" spans="1:8" s="390" customFormat="1" x14ac:dyDescent="0.3">
      <c r="A39" s="390" t="s">
        <v>1207</v>
      </c>
      <c r="B39" s="389" t="s">
        <v>1208</v>
      </c>
      <c r="C39" s="389" t="s">
        <v>1090</v>
      </c>
      <c r="D39" s="389" t="s">
        <v>1091</v>
      </c>
      <c r="E39" s="389" t="s">
        <v>1209</v>
      </c>
      <c r="F39" s="390" t="s">
        <v>1210</v>
      </c>
      <c r="G39" s="393">
        <f t="shared" si="0"/>
        <v>12</v>
      </c>
      <c r="H39" s="389" t="str">
        <f t="shared" si="1"/>
        <v>GA</v>
      </c>
    </row>
    <row r="40" spans="1:8" s="390" customFormat="1" x14ac:dyDescent="0.3">
      <c r="A40" s="390" t="s">
        <v>1211</v>
      </c>
      <c r="B40" s="389" t="s">
        <v>1208</v>
      </c>
      <c r="C40" s="389" t="s">
        <v>1107</v>
      </c>
      <c r="D40" s="389" t="s">
        <v>1108</v>
      </c>
      <c r="E40" s="389" t="s">
        <v>1212</v>
      </c>
      <c r="F40" s="390" t="s">
        <v>1213</v>
      </c>
      <c r="G40" s="393">
        <f t="shared" si="0"/>
        <v>11</v>
      </c>
      <c r="H40" s="389" t="str">
        <f t="shared" si="1"/>
        <v>GA</v>
      </c>
    </row>
    <row r="41" spans="1:8" s="390" customFormat="1" x14ac:dyDescent="0.3">
      <c r="A41" s="390" t="s">
        <v>1214</v>
      </c>
      <c r="B41" s="389" t="s">
        <v>1106</v>
      </c>
      <c r="C41" s="389" t="s">
        <v>1090</v>
      </c>
      <c r="D41" s="389" t="s">
        <v>1091</v>
      </c>
      <c r="E41" s="389" t="s">
        <v>1215</v>
      </c>
      <c r="F41" s="390" t="s">
        <v>1216</v>
      </c>
      <c r="G41" s="393">
        <f t="shared" si="0"/>
        <v>8</v>
      </c>
      <c r="H41" s="389" t="str">
        <f t="shared" si="1"/>
        <v>GA</v>
      </c>
    </row>
    <row r="42" spans="1:8" s="390" customFormat="1" x14ac:dyDescent="0.3">
      <c r="A42" s="390" t="s">
        <v>1217</v>
      </c>
      <c r="B42" s="389" t="s">
        <v>1208</v>
      </c>
      <c r="C42" s="389" t="s">
        <v>1107</v>
      </c>
      <c r="D42" s="389" t="s">
        <v>1152</v>
      </c>
      <c r="E42" s="389" t="s">
        <v>1218</v>
      </c>
      <c r="F42" s="390" t="s">
        <v>1219</v>
      </c>
      <c r="G42" s="393">
        <f t="shared" si="0"/>
        <v>13</v>
      </c>
      <c r="H42" s="389" t="str">
        <f t="shared" si="1"/>
        <v>MD</v>
      </c>
    </row>
    <row r="43" spans="1:8" s="390" customFormat="1" x14ac:dyDescent="0.3">
      <c r="A43" s="390" t="s">
        <v>1220</v>
      </c>
      <c r="B43" s="389" t="s">
        <v>1221</v>
      </c>
      <c r="C43" s="389" t="s">
        <v>1101</v>
      </c>
      <c r="D43" s="389" t="s">
        <v>1102</v>
      </c>
      <c r="E43" s="389" t="s">
        <v>1222</v>
      </c>
      <c r="F43" s="390" t="s">
        <v>1223</v>
      </c>
      <c r="G43" s="393">
        <f t="shared" si="0"/>
        <v>15</v>
      </c>
      <c r="H43" s="389" t="str">
        <f t="shared" si="1"/>
        <v>MD</v>
      </c>
    </row>
    <row r="44" spans="1:8" s="390" customFormat="1" x14ac:dyDescent="0.3">
      <c r="A44" s="390" t="s">
        <v>1224</v>
      </c>
      <c r="B44" s="389" t="s">
        <v>1106</v>
      </c>
      <c r="C44" s="389" t="s">
        <v>1101</v>
      </c>
      <c r="D44" s="389" t="s">
        <v>1102</v>
      </c>
      <c r="E44" s="389" t="s">
        <v>1131</v>
      </c>
      <c r="F44" s="390" t="s">
        <v>1225</v>
      </c>
      <c r="G44" s="393">
        <f t="shared" si="0"/>
        <v>11</v>
      </c>
      <c r="H44" s="389" t="str">
        <f t="shared" si="1"/>
        <v>GA</v>
      </c>
    </row>
    <row r="45" spans="1:8" s="390" customFormat="1" x14ac:dyDescent="0.3">
      <c r="A45" s="390" t="s">
        <v>1226</v>
      </c>
      <c r="B45" s="389" t="s">
        <v>275</v>
      </c>
      <c r="C45" s="389" t="s">
        <v>1101</v>
      </c>
      <c r="D45" s="389" t="s">
        <v>1102</v>
      </c>
      <c r="E45" s="389" t="s">
        <v>1227</v>
      </c>
      <c r="F45" s="390" t="s">
        <v>1228</v>
      </c>
      <c r="G45" s="393">
        <f t="shared" si="0"/>
        <v>11</v>
      </c>
      <c r="H45" s="389" t="str">
        <f t="shared" si="1"/>
        <v>GA</v>
      </c>
    </row>
    <row r="46" spans="1:8" s="390" customFormat="1" x14ac:dyDescent="0.3">
      <c r="A46" s="390" t="s">
        <v>1229</v>
      </c>
      <c r="B46" s="389" t="s">
        <v>1230</v>
      </c>
      <c r="C46" s="389" t="s">
        <v>1096</v>
      </c>
      <c r="D46" s="389" t="s">
        <v>1097</v>
      </c>
      <c r="E46" s="389" t="s">
        <v>1231</v>
      </c>
      <c r="F46" s="390" t="s">
        <v>1232</v>
      </c>
      <c r="G46" s="393">
        <f t="shared" si="0"/>
        <v>10</v>
      </c>
      <c r="H46" s="389" t="str">
        <f t="shared" si="1"/>
        <v>GA</v>
      </c>
    </row>
    <row r="47" spans="1:8" s="390" customFormat="1" x14ac:dyDescent="0.3">
      <c r="A47" s="390" t="s">
        <v>1233</v>
      </c>
      <c r="B47" s="389" t="s">
        <v>1208</v>
      </c>
      <c r="C47" s="389" t="s">
        <v>1101</v>
      </c>
      <c r="D47" s="389" t="s">
        <v>1102</v>
      </c>
      <c r="E47" s="389" t="s">
        <v>1234</v>
      </c>
      <c r="F47" s="390" t="s">
        <v>1235</v>
      </c>
      <c r="G47" s="393">
        <f t="shared" si="0"/>
        <v>9</v>
      </c>
      <c r="H47" s="389" t="str">
        <f t="shared" si="1"/>
        <v>SC</v>
      </c>
    </row>
    <row r="48" spans="1:8" s="390" customFormat="1" x14ac:dyDescent="0.3">
      <c r="A48" s="390" t="s">
        <v>1236</v>
      </c>
      <c r="B48" s="389" t="s">
        <v>275</v>
      </c>
      <c r="C48" s="389" t="s">
        <v>1107</v>
      </c>
      <c r="D48" s="389" t="s">
        <v>1108</v>
      </c>
      <c r="E48" s="389" t="s">
        <v>1237</v>
      </c>
      <c r="F48" s="390" t="s">
        <v>1238</v>
      </c>
      <c r="G48" s="393">
        <f t="shared" si="0"/>
        <v>10</v>
      </c>
      <c r="H48" s="389" t="str">
        <f t="shared" si="1"/>
        <v>GA</v>
      </c>
    </row>
    <row r="49" spans="1:8" s="390" customFormat="1" x14ac:dyDescent="0.3">
      <c r="A49" s="390" t="s">
        <v>1239</v>
      </c>
      <c r="B49" s="389" t="s">
        <v>1230</v>
      </c>
      <c r="C49" s="389" t="s">
        <v>1101</v>
      </c>
      <c r="D49" s="389" t="s">
        <v>1097</v>
      </c>
      <c r="E49" s="389" t="s">
        <v>1240</v>
      </c>
      <c r="F49" s="390" t="s">
        <v>1146</v>
      </c>
      <c r="G49" s="393">
        <f t="shared" si="0"/>
        <v>7</v>
      </c>
      <c r="H49" s="389" t="str">
        <f t="shared" si="1"/>
        <v>GA</v>
      </c>
    </row>
    <row r="50" spans="1:8" s="390" customFormat="1" x14ac:dyDescent="0.3">
      <c r="A50" s="390" t="s">
        <v>1241</v>
      </c>
      <c r="B50" s="389" t="s">
        <v>1221</v>
      </c>
      <c r="C50" s="389" t="s">
        <v>1096</v>
      </c>
      <c r="D50" s="389" t="s">
        <v>1097</v>
      </c>
      <c r="E50" s="389" t="s">
        <v>1242</v>
      </c>
      <c r="F50" s="390" t="s">
        <v>1114</v>
      </c>
      <c r="G50" s="393">
        <f t="shared" si="0"/>
        <v>9</v>
      </c>
      <c r="H50" s="389" t="str">
        <f t="shared" si="1"/>
        <v>GA</v>
      </c>
    </row>
    <row r="51" spans="1:8" s="390" customFormat="1" x14ac:dyDescent="0.3">
      <c r="A51" s="390" t="s">
        <v>1243</v>
      </c>
      <c r="B51" s="389" t="s">
        <v>1127</v>
      </c>
      <c r="C51" s="389" t="s">
        <v>1107</v>
      </c>
      <c r="D51" s="389" t="s">
        <v>1102</v>
      </c>
      <c r="E51" s="389" t="s">
        <v>1244</v>
      </c>
      <c r="F51" s="390" t="s">
        <v>1245</v>
      </c>
      <c r="G51" s="393">
        <f t="shared" si="0"/>
        <v>13</v>
      </c>
      <c r="H51" s="389" t="str">
        <f t="shared" si="1"/>
        <v>GA</v>
      </c>
    </row>
    <row r="52" spans="1:8" s="390" customFormat="1" x14ac:dyDescent="0.3">
      <c r="A52" s="390" t="s">
        <v>1246</v>
      </c>
      <c r="B52" s="389" t="s">
        <v>1208</v>
      </c>
      <c r="C52" s="389" t="s">
        <v>1096</v>
      </c>
      <c r="D52" s="389" t="s">
        <v>1097</v>
      </c>
      <c r="E52" s="389" t="s">
        <v>1247</v>
      </c>
      <c r="F52" s="390" t="s">
        <v>1248</v>
      </c>
      <c r="G52" s="393">
        <f t="shared" si="0"/>
        <v>12</v>
      </c>
      <c r="H52" s="389" t="str">
        <f t="shared" si="1"/>
        <v>GA</v>
      </c>
    </row>
    <row r="53" spans="1:8" s="390" customFormat="1" x14ac:dyDescent="0.3">
      <c r="A53" s="390" t="s">
        <v>1249</v>
      </c>
      <c r="B53" s="389" t="s">
        <v>1230</v>
      </c>
      <c r="C53" s="389" t="s">
        <v>1107</v>
      </c>
      <c r="D53" s="389" t="s">
        <v>1152</v>
      </c>
      <c r="E53" s="389" t="s">
        <v>1250</v>
      </c>
      <c r="F53" s="390" t="s">
        <v>1251</v>
      </c>
      <c r="G53" s="393">
        <f t="shared" si="0"/>
        <v>9</v>
      </c>
      <c r="H53" s="389" t="str">
        <f t="shared" si="1"/>
        <v>GA</v>
      </c>
    </row>
    <row r="54" spans="1:8" s="390" customFormat="1" x14ac:dyDescent="0.3">
      <c r="A54" s="390" t="s">
        <v>1252</v>
      </c>
      <c r="B54" s="389" t="s">
        <v>1230</v>
      </c>
      <c r="C54" s="389" t="s">
        <v>1107</v>
      </c>
      <c r="D54" s="389" t="s">
        <v>1152</v>
      </c>
      <c r="E54" s="389" t="s">
        <v>1253</v>
      </c>
      <c r="F54" s="390" t="s">
        <v>1254</v>
      </c>
      <c r="G54" s="393">
        <f t="shared" si="0"/>
        <v>14</v>
      </c>
      <c r="H54" s="389" t="str">
        <f t="shared" si="1"/>
        <v>FL</v>
      </c>
    </row>
    <row r="55" spans="1:8" s="390" customFormat="1" x14ac:dyDescent="0.3">
      <c r="A55" s="390" t="s">
        <v>1255</v>
      </c>
      <c r="B55" s="389" t="s">
        <v>1221</v>
      </c>
      <c r="C55" s="389" t="s">
        <v>1107</v>
      </c>
      <c r="D55" s="389" t="s">
        <v>1152</v>
      </c>
      <c r="E55" s="389" t="s">
        <v>1256</v>
      </c>
      <c r="F55" s="390" t="s">
        <v>1225</v>
      </c>
      <c r="G55" s="393">
        <f t="shared" si="0"/>
        <v>11</v>
      </c>
      <c r="H55" s="389" t="str">
        <f t="shared" si="1"/>
        <v>GA</v>
      </c>
    </row>
    <row r="56" spans="1:8" s="390" customFormat="1" x14ac:dyDescent="0.3">
      <c r="A56" s="390" t="s">
        <v>1257</v>
      </c>
      <c r="B56" s="389" t="s">
        <v>1221</v>
      </c>
      <c r="C56" s="389" t="s">
        <v>1107</v>
      </c>
      <c r="D56" s="389" t="s">
        <v>1152</v>
      </c>
      <c r="E56" s="389" t="s">
        <v>1258</v>
      </c>
      <c r="F56" s="390" t="s">
        <v>1259</v>
      </c>
      <c r="G56" s="393">
        <f t="shared" si="0"/>
        <v>8</v>
      </c>
      <c r="H56" s="389" t="str">
        <f t="shared" si="1"/>
        <v>GA</v>
      </c>
    </row>
    <row r="57" spans="1:8" s="390" customFormat="1" x14ac:dyDescent="0.3">
      <c r="A57" s="390" t="s">
        <v>1260</v>
      </c>
      <c r="B57" s="389" t="s">
        <v>1208</v>
      </c>
      <c r="C57" s="389" t="s">
        <v>1107</v>
      </c>
      <c r="D57" s="389" t="s">
        <v>1152</v>
      </c>
      <c r="E57" s="389" t="s">
        <v>1261</v>
      </c>
      <c r="F57" s="390" t="s">
        <v>1262</v>
      </c>
      <c r="G57" s="393">
        <f t="shared" si="0"/>
        <v>12</v>
      </c>
      <c r="H57" s="389" t="str">
        <f t="shared" si="1"/>
        <v>GA</v>
      </c>
    </row>
    <row r="58" spans="1:8" s="390" customFormat="1" x14ac:dyDescent="0.3">
      <c r="A58" s="390" t="s">
        <v>1263</v>
      </c>
      <c r="B58" s="389" t="s">
        <v>275</v>
      </c>
      <c r="C58" s="389" t="s">
        <v>1096</v>
      </c>
      <c r="D58" s="389" t="s">
        <v>1097</v>
      </c>
      <c r="E58" s="389" t="s">
        <v>1264</v>
      </c>
      <c r="F58" s="390" t="s">
        <v>1265</v>
      </c>
      <c r="G58" s="393">
        <f t="shared" si="0"/>
        <v>15</v>
      </c>
      <c r="H58" s="389" t="str">
        <f t="shared" si="1"/>
        <v>FL</v>
      </c>
    </row>
    <row r="59" spans="1:8" s="390" customFormat="1" x14ac:dyDescent="0.3">
      <c r="A59" s="390" t="s">
        <v>1266</v>
      </c>
      <c r="B59" s="389" t="s">
        <v>1267</v>
      </c>
      <c r="C59" s="389" t="s">
        <v>1101</v>
      </c>
      <c r="D59" s="389" t="s">
        <v>1102</v>
      </c>
      <c r="E59" s="389" t="s">
        <v>1268</v>
      </c>
      <c r="F59" s="390" t="s">
        <v>1269</v>
      </c>
      <c r="G59" s="393">
        <f t="shared" si="0"/>
        <v>10</v>
      </c>
      <c r="H59" s="389" t="str">
        <f t="shared" si="1"/>
        <v>GA</v>
      </c>
    </row>
    <row r="60" spans="1:8" s="390" customFormat="1" x14ac:dyDescent="0.3">
      <c r="A60" s="390" t="s">
        <v>1270</v>
      </c>
      <c r="B60" s="389" t="s">
        <v>1089</v>
      </c>
      <c r="C60" s="389" t="s">
        <v>1090</v>
      </c>
      <c r="D60" s="389" t="s">
        <v>1091</v>
      </c>
      <c r="E60" s="389" t="s">
        <v>1271</v>
      </c>
      <c r="F60" s="390" t="s">
        <v>1272</v>
      </c>
      <c r="G60" s="393">
        <f t="shared" si="0"/>
        <v>9</v>
      </c>
      <c r="H60" s="389" t="str">
        <f t="shared" si="1"/>
        <v>GA</v>
      </c>
    </row>
    <row r="61" spans="1:8" s="390" customFormat="1" x14ac:dyDescent="0.3">
      <c r="A61" s="390" t="s">
        <v>1273</v>
      </c>
      <c r="B61" s="389" t="s">
        <v>1208</v>
      </c>
      <c r="C61" s="389" t="s">
        <v>1096</v>
      </c>
      <c r="D61" s="389" t="s">
        <v>1097</v>
      </c>
      <c r="E61" s="389" t="s">
        <v>1131</v>
      </c>
      <c r="F61" s="390" t="s">
        <v>1274</v>
      </c>
      <c r="G61" s="393">
        <f t="shared" si="0"/>
        <v>9</v>
      </c>
      <c r="H61" s="389" t="str">
        <f t="shared" si="1"/>
        <v>GA</v>
      </c>
    </row>
    <row r="62" spans="1:8" s="390" customFormat="1" x14ac:dyDescent="0.3">
      <c r="A62" s="390" t="s">
        <v>1275</v>
      </c>
      <c r="B62" s="389" t="s">
        <v>1276</v>
      </c>
      <c r="C62" s="389" t="s">
        <v>1107</v>
      </c>
      <c r="D62" s="389" t="s">
        <v>1108</v>
      </c>
      <c r="E62" s="389" t="s">
        <v>1277</v>
      </c>
      <c r="F62" s="390" t="s">
        <v>1278</v>
      </c>
      <c r="G62" s="393">
        <f t="shared" si="0"/>
        <v>15</v>
      </c>
      <c r="H62" s="389" t="str">
        <f t="shared" si="1"/>
        <v>FL</v>
      </c>
    </row>
    <row r="63" spans="1:8" s="390" customFormat="1" x14ac:dyDescent="0.3">
      <c r="A63" s="390" t="s">
        <v>1279</v>
      </c>
      <c r="B63" s="389" t="s">
        <v>1201</v>
      </c>
      <c r="C63" s="389" t="s">
        <v>1101</v>
      </c>
      <c r="D63" s="389" t="s">
        <v>1102</v>
      </c>
      <c r="E63" s="389" t="s">
        <v>1280</v>
      </c>
      <c r="F63" s="390" t="s">
        <v>1281</v>
      </c>
      <c r="G63" s="393">
        <f t="shared" si="0"/>
        <v>11</v>
      </c>
      <c r="H63" s="389" t="str">
        <f t="shared" si="1"/>
        <v>FL</v>
      </c>
    </row>
    <row r="64" spans="1:8" s="390" customFormat="1" x14ac:dyDescent="0.3">
      <c r="A64" s="390" t="s">
        <v>1282</v>
      </c>
      <c r="B64" s="389" t="s">
        <v>275</v>
      </c>
      <c r="C64" s="389" t="s">
        <v>1107</v>
      </c>
      <c r="D64" s="389" t="s">
        <v>1152</v>
      </c>
      <c r="E64" s="389" t="s">
        <v>1283</v>
      </c>
      <c r="F64" s="390" t="s">
        <v>1284</v>
      </c>
      <c r="G64" s="393">
        <f t="shared" si="0"/>
        <v>9</v>
      </c>
      <c r="H64" s="389" t="str">
        <f t="shared" si="1"/>
        <v>GA</v>
      </c>
    </row>
    <row r="65" spans="1:8" s="390" customFormat="1" x14ac:dyDescent="0.3">
      <c r="A65" s="390" t="s">
        <v>1285</v>
      </c>
      <c r="B65" s="389" t="s">
        <v>1089</v>
      </c>
      <c r="C65" s="389" t="s">
        <v>1107</v>
      </c>
      <c r="D65" s="389" t="s">
        <v>1152</v>
      </c>
      <c r="E65" s="389" t="s">
        <v>1286</v>
      </c>
      <c r="F65" s="390" t="s">
        <v>1287</v>
      </c>
      <c r="G65" s="393">
        <f t="shared" si="0"/>
        <v>8</v>
      </c>
      <c r="H65" s="389" t="str">
        <f t="shared" si="1"/>
        <v>GA</v>
      </c>
    </row>
    <row r="66" spans="1:8" s="390" customFormat="1" x14ac:dyDescent="0.3">
      <c r="A66" s="390" t="s">
        <v>1288</v>
      </c>
      <c r="B66" s="389" t="s">
        <v>1289</v>
      </c>
      <c r="C66" s="389" t="s">
        <v>1107</v>
      </c>
      <c r="D66" s="389" t="s">
        <v>1152</v>
      </c>
      <c r="E66" s="389" t="s">
        <v>1290</v>
      </c>
      <c r="F66" s="390" t="s">
        <v>1291</v>
      </c>
      <c r="G66" s="393">
        <f t="shared" si="0"/>
        <v>11</v>
      </c>
      <c r="H66" s="389" t="str">
        <f t="shared" si="1"/>
        <v>GA</v>
      </c>
    </row>
    <row r="67" spans="1:8" s="390" customFormat="1" x14ac:dyDescent="0.3">
      <c r="A67" s="390" t="s">
        <v>1292</v>
      </c>
      <c r="B67" s="389" t="s">
        <v>15</v>
      </c>
      <c r="C67" s="389" t="s">
        <v>1101</v>
      </c>
      <c r="D67" s="389" t="s">
        <v>1102</v>
      </c>
      <c r="E67" s="389" t="s">
        <v>1293</v>
      </c>
      <c r="F67" s="390" t="s">
        <v>1294</v>
      </c>
      <c r="G67" s="393">
        <f t="shared" si="0"/>
        <v>12</v>
      </c>
      <c r="H67" s="389" t="str">
        <f t="shared" si="1"/>
        <v>AL</v>
      </c>
    </row>
    <row r="68" spans="1:8" s="390" customFormat="1" x14ac:dyDescent="0.3">
      <c r="A68" s="390" t="s">
        <v>1295</v>
      </c>
      <c r="B68" s="389" t="s">
        <v>1267</v>
      </c>
      <c r="C68" s="389" t="s">
        <v>1107</v>
      </c>
      <c r="D68" s="389" t="s">
        <v>1152</v>
      </c>
      <c r="E68" s="389" t="s">
        <v>1296</v>
      </c>
      <c r="F68" s="390" t="s">
        <v>1297</v>
      </c>
      <c r="G68" s="393">
        <f t="shared" si="0"/>
        <v>10</v>
      </c>
      <c r="H68" s="389" t="str">
        <f t="shared" si="1"/>
        <v>GA</v>
      </c>
    </row>
    <row r="69" spans="1:8" s="390" customFormat="1" x14ac:dyDescent="0.3">
      <c r="A69" s="390" t="s">
        <v>1298</v>
      </c>
      <c r="B69" s="389" t="s">
        <v>275</v>
      </c>
      <c r="C69" s="389" t="s">
        <v>1101</v>
      </c>
      <c r="D69" s="389" t="s">
        <v>1102</v>
      </c>
      <c r="E69" s="389" t="s">
        <v>1299</v>
      </c>
      <c r="F69" s="390" t="s">
        <v>1300</v>
      </c>
      <c r="G69" s="393">
        <f t="shared" si="0"/>
        <v>7</v>
      </c>
      <c r="H69" s="389" t="str">
        <f t="shared" si="1"/>
        <v>LA</v>
      </c>
    </row>
    <row r="70" spans="1:8" s="390" customFormat="1" x14ac:dyDescent="0.3">
      <c r="A70" s="390" t="s">
        <v>1301</v>
      </c>
      <c r="B70" s="389" t="s">
        <v>15</v>
      </c>
      <c r="C70" s="389" t="s">
        <v>1090</v>
      </c>
      <c r="D70" s="389" t="s">
        <v>1091</v>
      </c>
      <c r="E70" s="389" t="s">
        <v>1296</v>
      </c>
      <c r="F70" s="390" t="s">
        <v>1302</v>
      </c>
      <c r="G70" s="393">
        <f t="shared" ref="G70:G103" si="2">FIND(",",F70)</f>
        <v>7</v>
      </c>
      <c r="H70" s="389" t="str">
        <f t="shared" ref="H70:H103" si="3">MID(F70,G70+2,2)</f>
        <v>GA</v>
      </c>
    </row>
    <row r="71" spans="1:8" s="390" customFormat="1" x14ac:dyDescent="0.3">
      <c r="A71" s="390" t="s">
        <v>1303</v>
      </c>
      <c r="B71" s="389" t="s">
        <v>1089</v>
      </c>
      <c r="C71" s="389" t="s">
        <v>1096</v>
      </c>
      <c r="D71" s="389" t="s">
        <v>1097</v>
      </c>
      <c r="E71" s="389" t="s">
        <v>1304</v>
      </c>
      <c r="F71" s="390" t="s">
        <v>1305</v>
      </c>
      <c r="G71" s="393">
        <f t="shared" si="2"/>
        <v>13</v>
      </c>
      <c r="H71" s="389" t="str">
        <f t="shared" si="3"/>
        <v>AL</v>
      </c>
    </row>
    <row r="72" spans="1:8" s="390" customFormat="1" x14ac:dyDescent="0.3">
      <c r="A72" s="390" t="s">
        <v>1306</v>
      </c>
      <c r="B72" s="389" t="s">
        <v>275</v>
      </c>
      <c r="C72" s="389" t="s">
        <v>1101</v>
      </c>
      <c r="D72" s="389" t="s">
        <v>1097</v>
      </c>
      <c r="E72" s="389" t="s">
        <v>1307</v>
      </c>
      <c r="F72" s="390" t="s">
        <v>1308</v>
      </c>
      <c r="G72" s="393">
        <f t="shared" si="2"/>
        <v>7</v>
      </c>
      <c r="H72" s="389" t="str">
        <f t="shared" si="3"/>
        <v>GA</v>
      </c>
    </row>
    <row r="73" spans="1:8" s="390" customFormat="1" x14ac:dyDescent="0.3">
      <c r="A73" s="390" t="s">
        <v>1309</v>
      </c>
      <c r="B73" s="389" t="s">
        <v>1310</v>
      </c>
      <c r="C73" s="389" t="s">
        <v>1090</v>
      </c>
      <c r="D73" s="389" t="s">
        <v>1091</v>
      </c>
      <c r="E73" s="389" t="s">
        <v>1311</v>
      </c>
      <c r="F73" s="390" t="s">
        <v>1312</v>
      </c>
      <c r="G73" s="393">
        <f t="shared" si="2"/>
        <v>9</v>
      </c>
      <c r="H73" s="389" t="str">
        <f t="shared" si="3"/>
        <v>GA</v>
      </c>
    </row>
    <row r="74" spans="1:8" s="390" customFormat="1" x14ac:dyDescent="0.3">
      <c r="A74" s="390" t="s">
        <v>1313</v>
      </c>
      <c r="B74" s="389" t="s">
        <v>1089</v>
      </c>
      <c r="C74" s="389" t="s">
        <v>1096</v>
      </c>
      <c r="D74" s="389" t="s">
        <v>1097</v>
      </c>
      <c r="E74" s="389" t="s">
        <v>1314</v>
      </c>
      <c r="F74" s="390" t="s">
        <v>1315</v>
      </c>
      <c r="G74" s="393">
        <f t="shared" si="2"/>
        <v>11</v>
      </c>
      <c r="H74" s="389" t="str">
        <f t="shared" si="3"/>
        <v>GA</v>
      </c>
    </row>
    <row r="75" spans="1:8" s="390" customFormat="1" x14ac:dyDescent="0.3">
      <c r="A75" s="390" t="s">
        <v>1316</v>
      </c>
      <c r="B75" s="389" t="s">
        <v>1289</v>
      </c>
      <c r="C75" s="389" t="s">
        <v>1101</v>
      </c>
      <c r="D75" s="389" t="s">
        <v>1102</v>
      </c>
      <c r="E75" s="389" t="s">
        <v>1317</v>
      </c>
      <c r="F75" s="390" t="s">
        <v>1318</v>
      </c>
      <c r="G75" s="393">
        <f t="shared" si="2"/>
        <v>10</v>
      </c>
      <c r="H75" s="389" t="str">
        <f t="shared" si="3"/>
        <v>GA</v>
      </c>
    </row>
    <row r="76" spans="1:8" s="390" customFormat="1" x14ac:dyDescent="0.3">
      <c r="A76" s="390" t="s">
        <v>1319</v>
      </c>
      <c r="B76" s="389" t="s">
        <v>1289</v>
      </c>
      <c r="C76" s="389" t="s">
        <v>1107</v>
      </c>
      <c r="D76" s="389" t="s">
        <v>1108</v>
      </c>
      <c r="E76" s="389" t="s">
        <v>1320</v>
      </c>
      <c r="F76" s="390" t="s">
        <v>1321</v>
      </c>
      <c r="G76" s="393">
        <f t="shared" si="2"/>
        <v>11</v>
      </c>
      <c r="H76" s="389" t="str">
        <f t="shared" si="3"/>
        <v>GA</v>
      </c>
    </row>
    <row r="77" spans="1:8" s="390" customFormat="1" x14ac:dyDescent="0.3">
      <c r="A77" s="390" t="s">
        <v>1322</v>
      </c>
      <c r="B77" s="389" t="s">
        <v>275</v>
      </c>
      <c r="C77" s="389" t="s">
        <v>1107</v>
      </c>
      <c r="D77" s="389" t="s">
        <v>1152</v>
      </c>
      <c r="E77" s="389" t="s">
        <v>1323</v>
      </c>
      <c r="F77" s="390" t="s">
        <v>1324</v>
      </c>
      <c r="G77" s="393">
        <f t="shared" si="2"/>
        <v>8</v>
      </c>
      <c r="H77" s="389" t="str">
        <f t="shared" si="3"/>
        <v>GA</v>
      </c>
    </row>
    <row r="78" spans="1:8" s="390" customFormat="1" x14ac:dyDescent="0.3">
      <c r="A78" s="390" t="s">
        <v>1325</v>
      </c>
      <c r="B78" s="389" t="s">
        <v>1267</v>
      </c>
      <c r="C78" s="389" t="s">
        <v>1101</v>
      </c>
      <c r="D78" s="389" t="s">
        <v>1102</v>
      </c>
      <c r="E78" s="389" t="s">
        <v>1326</v>
      </c>
      <c r="F78" s="390" t="s">
        <v>1327</v>
      </c>
      <c r="G78" s="393">
        <f t="shared" si="2"/>
        <v>6</v>
      </c>
      <c r="H78" s="389" t="str">
        <f t="shared" si="3"/>
        <v>GA</v>
      </c>
    </row>
    <row r="79" spans="1:8" s="390" customFormat="1" x14ac:dyDescent="0.3">
      <c r="A79" s="390" t="s">
        <v>1328</v>
      </c>
      <c r="B79" s="389" t="s">
        <v>1289</v>
      </c>
      <c r="C79" s="389" t="s">
        <v>1096</v>
      </c>
      <c r="D79" s="389" t="s">
        <v>1102</v>
      </c>
      <c r="E79" s="389" t="s">
        <v>1329</v>
      </c>
      <c r="F79" s="390" t="s">
        <v>1330</v>
      </c>
      <c r="G79" s="393">
        <f t="shared" si="2"/>
        <v>10</v>
      </c>
      <c r="H79" s="389" t="str">
        <f t="shared" si="3"/>
        <v>NC</v>
      </c>
    </row>
    <row r="80" spans="1:8" s="390" customFormat="1" x14ac:dyDescent="0.3">
      <c r="A80" s="390" t="s">
        <v>1331</v>
      </c>
      <c r="B80" s="389" t="s">
        <v>1289</v>
      </c>
      <c r="C80" s="389" t="s">
        <v>1107</v>
      </c>
      <c r="D80" s="389" t="s">
        <v>1152</v>
      </c>
      <c r="E80" s="389" t="s">
        <v>1332</v>
      </c>
      <c r="F80" s="390" t="s">
        <v>1333</v>
      </c>
      <c r="G80" s="393">
        <f t="shared" si="2"/>
        <v>7</v>
      </c>
      <c r="H80" s="389" t="str">
        <f t="shared" si="3"/>
        <v>MS</v>
      </c>
    </row>
    <row r="81" spans="1:8" s="390" customFormat="1" x14ac:dyDescent="0.3">
      <c r="A81" s="390" t="s">
        <v>1334</v>
      </c>
      <c r="B81" s="389" t="s">
        <v>1267</v>
      </c>
      <c r="C81" s="389" t="s">
        <v>1101</v>
      </c>
      <c r="D81" s="389" t="s">
        <v>1102</v>
      </c>
      <c r="E81" s="389" t="s">
        <v>1335</v>
      </c>
      <c r="F81" s="390" t="s">
        <v>1336</v>
      </c>
      <c r="G81" s="393">
        <f t="shared" si="2"/>
        <v>7</v>
      </c>
      <c r="H81" s="389" t="str">
        <f t="shared" si="3"/>
        <v>GA</v>
      </c>
    </row>
    <row r="82" spans="1:8" s="390" customFormat="1" x14ac:dyDescent="0.3">
      <c r="A82" s="390" t="s">
        <v>1337</v>
      </c>
      <c r="B82" s="389" t="s">
        <v>1127</v>
      </c>
      <c r="C82" s="389" t="s">
        <v>1101</v>
      </c>
      <c r="D82" s="389" t="s">
        <v>1102</v>
      </c>
      <c r="E82" s="389" t="s">
        <v>1109</v>
      </c>
      <c r="F82" s="390" t="s">
        <v>1338</v>
      </c>
      <c r="G82" s="393">
        <f t="shared" si="2"/>
        <v>7</v>
      </c>
      <c r="H82" s="389" t="str">
        <f t="shared" si="3"/>
        <v>CT</v>
      </c>
    </row>
    <row r="83" spans="1:8" s="390" customFormat="1" x14ac:dyDescent="0.3">
      <c r="A83" s="390" t="s">
        <v>1339</v>
      </c>
      <c r="B83" s="389" t="s">
        <v>1123</v>
      </c>
      <c r="C83" s="389" t="s">
        <v>1101</v>
      </c>
      <c r="D83" s="389" t="s">
        <v>1102</v>
      </c>
      <c r="E83" s="389" t="s">
        <v>1340</v>
      </c>
      <c r="F83" s="390" t="s">
        <v>1121</v>
      </c>
      <c r="G83" s="393">
        <f t="shared" si="2"/>
        <v>9</v>
      </c>
      <c r="H83" s="389" t="str">
        <f t="shared" si="3"/>
        <v>MO</v>
      </c>
    </row>
    <row r="84" spans="1:8" s="390" customFormat="1" x14ac:dyDescent="0.3">
      <c r="A84" s="390" t="s">
        <v>1341</v>
      </c>
      <c r="B84" s="389" t="s">
        <v>1127</v>
      </c>
      <c r="C84" s="389" t="s">
        <v>1107</v>
      </c>
      <c r="D84" s="389" t="s">
        <v>1152</v>
      </c>
      <c r="E84" s="389" t="s">
        <v>1342</v>
      </c>
      <c r="F84" s="390" t="s">
        <v>1343</v>
      </c>
      <c r="G84" s="393">
        <f t="shared" si="2"/>
        <v>16</v>
      </c>
      <c r="H84" s="389" t="str">
        <f t="shared" si="3"/>
        <v>FL</v>
      </c>
    </row>
    <row r="85" spans="1:8" s="390" customFormat="1" x14ac:dyDescent="0.3">
      <c r="A85" s="390" t="s">
        <v>1344</v>
      </c>
      <c r="B85" s="389" t="s">
        <v>275</v>
      </c>
      <c r="C85" s="389" t="s">
        <v>1096</v>
      </c>
      <c r="D85" s="389" t="s">
        <v>1097</v>
      </c>
      <c r="E85" s="389" t="s">
        <v>1345</v>
      </c>
      <c r="F85" s="390" t="s">
        <v>1346</v>
      </c>
      <c r="G85" s="393">
        <f t="shared" si="2"/>
        <v>10</v>
      </c>
      <c r="H85" s="389" t="str">
        <f t="shared" si="3"/>
        <v>GA</v>
      </c>
    </row>
    <row r="86" spans="1:8" s="390" customFormat="1" x14ac:dyDescent="0.3">
      <c r="A86" s="390" t="s">
        <v>1347</v>
      </c>
      <c r="B86" s="389" t="s">
        <v>1123</v>
      </c>
      <c r="C86" s="389" t="s">
        <v>1090</v>
      </c>
      <c r="D86" s="389" t="s">
        <v>1091</v>
      </c>
      <c r="E86" s="389" t="s">
        <v>1348</v>
      </c>
      <c r="F86" s="390" t="s">
        <v>1349</v>
      </c>
      <c r="G86" s="393">
        <f t="shared" si="2"/>
        <v>9</v>
      </c>
      <c r="H86" s="389" t="str">
        <f t="shared" si="3"/>
        <v>GA</v>
      </c>
    </row>
    <row r="87" spans="1:8" s="390" customFormat="1" x14ac:dyDescent="0.3">
      <c r="A87" s="390" t="s">
        <v>1350</v>
      </c>
      <c r="B87" s="389" t="s">
        <v>1276</v>
      </c>
      <c r="C87" s="389" t="s">
        <v>1090</v>
      </c>
      <c r="D87" s="389" t="s">
        <v>1091</v>
      </c>
      <c r="E87" s="389" t="s">
        <v>1296</v>
      </c>
      <c r="F87" s="390" t="s">
        <v>1351</v>
      </c>
      <c r="G87" s="393">
        <f t="shared" si="2"/>
        <v>9</v>
      </c>
      <c r="H87" s="389" t="str">
        <f t="shared" si="3"/>
        <v>GA</v>
      </c>
    </row>
    <row r="88" spans="1:8" s="390" customFormat="1" x14ac:dyDescent="0.3">
      <c r="A88" s="390" t="s">
        <v>1352</v>
      </c>
      <c r="B88" s="389" t="s">
        <v>1123</v>
      </c>
      <c r="C88" s="389" t="s">
        <v>1107</v>
      </c>
      <c r="D88" s="389" t="s">
        <v>1097</v>
      </c>
      <c r="E88" s="389" t="s">
        <v>1353</v>
      </c>
      <c r="F88" s="390" t="s">
        <v>1354</v>
      </c>
      <c r="G88" s="393">
        <f t="shared" si="2"/>
        <v>12</v>
      </c>
      <c r="H88" s="389" t="str">
        <f t="shared" si="3"/>
        <v>GA</v>
      </c>
    </row>
    <row r="89" spans="1:8" s="390" customFormat="1" x14ac:dyDescent="0.3">
      <c r="A89" s="390" t="s">
        <v>1355</v>
      </c>
      <c r="B89" s="389" t="s">
        <v>275</v>
      </c>
      <c r="C89" s="389" t="s">
        <v>1090</v>
      </c>
      <c r="D89" s="389" t="s">
        <v>1091</v>
      </c>
      <c r="E89" s="389" t="s">
        <v>1356</v>
      </c>
      <c r="F89" s="390" t="s">
        <v>1357</v>
      </c>
      <c r="G89" s="393">
        <f t="shared" si="2"/>
        <v>9</v>
      </c>
      <c r="H89" s="389" t="str">
        <f t="shared" si="3"/>
        <v>GA</v>
      </c>
    </row>
    <row r="90" spans="1:8" s="390" customFormat="1" x14ac:dyDescent="0.3">
      <c r="A90" s="390" t="s">
        <v>1358</v>
      </c>
      <c r="B90" s="389" t="s">
        <v>1123</v>
      </c>
      <c r="C90" s="389" t="s">
        <v>1096</v>
      </c>
      <c r="D90" s="389" t="s">
        <v>1097</v>
      </c>
      <c r="E90" s="389" t="s">
        <v>1359</v>
      </c>
      <c r="F90" s="390" t="s">
        <v>1360</v>
      </c>
      <c r="G90" s="393">
        <f t="shared" si="2"/>
        <v>10</v>
      </c>
      <c r="H90" s="389" t="str">
        <f t="shared" si="3"/>
        <v>MA</v>
      </c>
    </row>
    <row r="91" spans="1:8" s="390" customFormat="1" x14ac:dyDescent="0.3">
      <c r="A91" s="390" t="s">
        <v>1361</v>
      </c>
      <c r="B91" s="389" t="s">
        <v>1123</v>
      </c>
      <c r="C91" s="389" t="s">
        <v>1101</v>
      </c>
      <c r="D91" s="389" t="s">
        <v>1102</v>
      </c>
      <c r="E91" s="389" t="s">
        <v>1362</v>
      </c>
      <c r="F91" s="390" t="s">
        <v>1363</v>
      </c>
      <c r="G91" s="393">
        <f t="shared" si="2"/>
        <v>9</v>
      </c>
      <c r="H91" s="389" t="str">
        <f t="shared" si="3"/>
        <v>GA</v>
      </c>
    </row>
    <row r="92" spans="1:8" s="390" customFormat="1" x14ac:dyDescent="0.3">
      <c r="A92" s="390" t="s">
        <v>1364</v>
      </c>
      <c r="B92" s="389" t="s">
        <v>275</v>
      </c>
      <c r="C92" s="389" t="s">
        <v>1090</v>
      </c>
      <c r="D92" s="389" t="s">
        <v>1091</v>
      </c>
      <c r="E92" s="389" t="s">
        <v>1359</v>
      </c>
      <c r="F92" s="390" t="s">
        <v>1365</v>
      </c>
      <c r="G92" s="393">
        <f t="shared" si="2"/>
        <v>5</v>
      </c>
      <c r="H92" s="389" t="str">
        <f t="shared" si="3"/>
        <v>IN</v>
      </c>
    </row>
    <row r="93" spans="1:8" s="390" customFormat="1" x14ac:dyDescent="0.3">
      <c r="A93" s="390" t="s">
        <v>1366</v>
      </c>
      <c r="B93" s="389" t="s">
        <v>1276</v>
      </c>
      <c r="C93" s="389" t="s">
        <v>1107</v>
      </c>
      <c r="D93" s="389" t="s">
        <v>1108</v>
      </c>
      <c r="E93" s="389" t="s">
        <v>1367</v>
      </c>
      <c r="F93" s="390" t="s">
        <v>1368</v>
      </c>
      <c r="G93" s="393">
        <f t="shared" si="2"/>
        <v>9</v>
      </c>
      <c r="H93" s="389" t="str">
        <f t="shared" si="3"/>
        <v>NJ</v>
      </c>
    </row>
    <row r="94" spans="1:8" s="390" customFormat="1" x14ac:dyDescent="0.3">
      <c r="A94" s="390" t="s">
        <v>1369</v>
      </c>
      <c r="B94" s="389" t="s">
        <v>1201</v>
      </c>
      <c r="C94" s="389" t="s">
        <v>1096</v>
      </c>
      <c r="D94" s="389" t="s">
        <v>1097</v>
      </c>
      <c r="E94" s="389" t="s">
        <v>1370</v>
      </c>
      <c r="F94" s="390" t="s">
        <v>1371</v>
      </c>
      <c r="G94" s="393">
        <f t="shared" si="2"/>
        <v>8</v>
      </c>
      <c r="H94" s="389" t="str">
        <f t="shared" si="3"/>
        <v>GA</v>
      </c>
    </row>
    <row r="95" spans="1:8" s="390" customFormat="1" x14ac:dyDescent="0.3">
      <c r="A95" s="390" t="s">
        <v>1372</v>
      </c>
      <c r="B95" s="389" t="s">
        <v>1373</v>
      </c>
      <c r="C95" s="389" t="s">
        <v>1107</v>
      </c>
      <c r="D95" s="389" t="s">
        <v>1374</v>
      </c>
      <c r="E95" s="389" t="s">
        <v>1375</v>
      </c>
      <c r="F95" s="390" t="s">
        <v>1376</v>
      </c>
      <c r="G95" s="393">
        <f t="shared" si="2"/>
        <v>7</v>
      </c>
      <c r="H95" s="389" t="str">
        <f t="shared" si="3"/>
        <v>GA</v>
      </c>
    </row>
    <row r="96" spans="1:8" s="390" customFormat="1" x14ac:dyDescent="0.3">
      <c r="A96" s="390" t="s">
        <v>1377</v>
      </c>
      <c r="B96" s="389" t="s">
        <v>275</v>
      </c>
      <c r="C96" s="389" t="s">
        <v>1096</v>
      </c>
      <c r="D96" s="389" t="s">
        <v>1097</v>
      </c>
      <c r="E96" s="389" t="s">
        <v>1378</v>
      </c>
      <c r="F96" s="390" t="s">
        <v>1379</v>
      </c>
      <c r="G96" s="393">
        <f t="shared" si="2"/>
        <v>14</v>
      </c>
      <c r="H96" s="389" t="str">
        <f t="shared" si="3"/>
        <v>GA</v>
      </c>
    </row>
    <row r="97" spans="1:8" s="390" customFormat="1" x14ac:dyDescent="0.3">
      <c r="A97" s="390" t="s">
        <v>1380</v>
      </c>
      <c r="B97" s="389" t="s">
        <v>1381</v>
      </c>
      <c r="C97" s="389" t="s">
        <v>1101</v>
      </c>
      <c r="D97" s="389" t="s">
        <v>1102</v>
      </c>
      <c r="E97" s="389" t="s">
        <v>1382</v>
      </c>
      <c r="F97" s="390" t="s">
        <v>1228</v>
      </c>
      <c r="G97" s="393">
        <f t="shared" si="2"/>
        <v>11</v>
      </c>
      <c r="H97" s="389" t="str">
        <f t="shared" si="3"/>
        <v>GA</v>
      </c>
    </row>
    <row r="98" spans="1:8" s="390" customFormat="1" x14ac:dyDescent="0.3">
      <c r="A98" s="390" t="s">
        <v>1383</v>
      </c>
      <c r="B98" s="389" t="s">
        <v>1276</v>
      </c>
      <c r="C98" s="389" t="s">
        <v>1107</v>
      </c>
      <c r="D98" s="389" t="s">
        <v>1108</v>
      </c>
      <c r="E98" s="389" t="s">
        <v>1384</v>
      </c>
      <c r="F98" s="390" t="s">
        <v>1385</v>
      </c>
      <c r="G98" s="393">
        <f t="shared" si="2"/>
        <v>8</v>
      </c>
      <c r="H98" s="389" t="str">
        <f t="shared" si="3"/>
        <v>FL</v>
      </c>
    </row>
    <row r="99" spans="1:8" s="390" customFormat="1" x14ac:dyDescent="0.3">
      <c r="A99" s="390" t="s">
        <v>1386</v>
      </c>
      <c r="B99" s="389" t="s">
        <v>1387</v>
      </c>
      <c r="C99" s="389" t="s">
        <v>1096</v>
      </c>
      <c r="D99" s="389" t="s">
        <v>1097</v>
      </c>
      <c r="E99" s="389" t="s">
        <v>1388</v>
      </c>
      <c r="F99" s="390" t="s">
        <v>1154</v>
      </c>
      <c r="G99" s="393">
        <f t="shared" si="2"/>
        <v>8</v>
      </c>
      <c r="H99" s="389" t="str">
        <f t="shared" si="3"/>
        <v>GA</v>
      </c>
    </row>
    <row r="100" spans="1:8" s="390" customFormat="1" x14ac:dyDescent="0.3">
      <c r="A100" s="390" t="s">
        <v>1389</v>
      </c>
      <c r="B100" s="389" t="s">
        <v>1381</v>
      </c>
      <c r="C100" s="389" t="s">
        <v>1107</v>
      </c>
      <c r="D100" s="389" t="s">
        <v>1152</v>
      </c>
      <c r="E100" s="389" t="s">
        <v>1390</v>
      </c>
      <c r="F100" s="390" t="s">
        <v>1391</v>
      </c>
      <c r="G100" s="393">
        <f t="shared" si="2"/>
        <v>9</v>
      </c>
      <c r="H100" s="389" t="str">
        <f t="shared" si="3"/>
        <v>GA</v>
      </c>
    </row>
    <row r="101" spans="1:8" s="390" customFormat="1" x14ac:dyDescent="0.3">
      <c r="A101" s="390" t="s">
        <v>1392</v>
      </c>
      <c r="B101" s="389" t="s">
        <v>1141</v>
      </c>
      <c r="C101" s="389" t="s">
        <v>1107</v>
      </c>
      <c r="D101" s="389" t="s">
        <v>1152</v>
      </c>
      <c r="E101" s="389" t="s">
        <v>1393</v>
      </c>
      <c r="F101" s="390" t="s">
        <v>1394</v>
      </c>
      <c r="G101" s="393">
        <f t="shared" si="2"/>
        <v>13</v>
      </c>
      <c r="H101" s="389" t="str">
        <f t="shared" si="3"/>
        <v>GA</v>
      </c>
    </row>
    <row r="102" spans="1:8" s="390" customFormat="1" x14ac:dyDescent="0.3">
      <c r="A102" s="390" t="s">
        <v>1395</v>
      </c>
      <c r="B102" s="389" t="s">
        <v>1276</v>
      </c>
      <c r="C102" s="389" t="s">
        <v>1107</v>
      </c>
      <c r="D102" s="389" t="s">
        <v>1152</v>
      </c>
      <c r="E102" s="389" t="s">
        <v>1396</v>
      </c>
      <c r="F102" s="390" t="s">
        <v>1397</v>
      </c>
      <c r="G102" s="393">
        <f t="shared" si="2"/>
        <v>11</v>
      </c>
      <c r="H102" s="389" t="str">
        <f t="shared" si="3"/>
        <v>NC</v>
      </c>
    </row>
    <row r="103" spans="1:8" s="390" customFormat="1" x14ac:dyDescent="0.3">
      <c r="A103" s="390" t="s">
        <v>1398</v>
      </c>
      <c r="B103" s="389" t="s">
        <v>1381</v>
      </c>
      <c r="C103" s="389" t="s">
        <v>1090</v>
      </c>
      <c r="D103" s="389" t="s">
        <v>1091</v>
      </c>
      <c r="E103" s="389" t="s">
        <v>1399</v>
      </c>
      <c r="F103" s="394" t="s">
        <v>1694</v>
      </c>
      <c r="G103" s="393">
        <f t="shared" si="2"/>
        <v>13</v>
      </c>
      <c r="H103" s="389" t="str">
        <f t="shared" si="3"/>
        <v>SC</v>
      </c>
    </row>
    <row r="104" spans="1:8" s="390" customFormat="1" x14ac:dyDescent="0.3">
      <c r="B104" s="389"/>
      <c r="C104" s="389"/>
      <c r="D104" s="389"/>
      <c r="E104" s="389"/>
      <c r="G104" s="389"/>
      <c r="H104" s="389"/>
    </row>
    <row r="105" spans="1:8" s="390" customFormat="1" x14ac:dyDescent="0.3">
      <c r="A105" s="395" t="s">
        <v>1402</v>
      </c>
      <c r="B105" s="389"/>
      <c r="C105" s="389"/>
      <c r="D105" s="389"/>
      <c r="E105" s="389"/>
      <c r="G105" s="389"/>
      <c r="H105" s="389"/>
    </row>
  </sheetData>
  <hyperlinks>
    <hyperlink ref="A105"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election activeCell="D7" sqref="D7"/>
    </sheetView>
  </sheetViews>
  <sheetFormatPr defaultColWidth="9.109375" defaultRowHeight="15.6" x14ac:dyDescent="0.3"/>
  <cols>
    <col min="1" max="1" width="9.109375" style="142"/>
    <col min="2" max="4" width="29.109375" style="142" customWidth="1"/>
    <col min="5" max="6" width="20.33203125" style="142" customWidth="1"/>
    <col min="7" max="16384" width="9.109375" style="142"/>
  </cols>
  <sheetData>
    <row r="1" spans="1:6" ht="23.4" x14ac:dyDescent="0.45">
      <c r="A1" s="33" t="s">
        <v>1671</v>
      </c>
      <c r="E1" s="634" t="s">
        <v>3016</v>
      </c>
    </row>
    <row r="2" spans="1:6" s="176" customFormat="1" x14ac:dyDescent="0.3"/>
    <row r="3" spans="1:6" s="176" customFormat="1" x14ac:dyDescent="0.3">
      <c r="B3" s="324" t="s">
        <v>1673</v>
      </c>
      <c r="C3" s="324" t="s">
        <v>1674</v>
      </c>
      <c r="D3" s="386" t="s">
        <v>1675</v>
      </c>
      <c r="E3" s="324"/>
      <c r="F3" s="324"/>
    </row>
    <row r="4" spans="1:6" s="176" customFormat="1" x14ac:dyDescent="0.3">
      <c r="B4" s="324"/>
      <c r="C4" s="324"/>
      <c r="D4" s="386"/>
      <c r="E4" s="324"/>
      <c r="F4" s="324"/>
    </row>
    <row r="5" spans="1:6" s="176" customFormat="1" x14ac:dyDescent="0.3">
      <c r="B5" s="142"/>
      <c r="C5" s="387" t="s">
        <v>1661</v>
      </c>
      <c r="D5" s="387" t="s">
        <v>1662</v>
      </c>
      <c r="E5" s="324"/>
      <c r="F5" s="324"/>
    </row>
    <row r="6" spans="1:6" s="176" customFormat="1" x14ac:dyDescent="0.3">
      <c r="B6" s="142"/>
      <c r="C6" s="387"/>
      <c r="D6" s="387"/>
      <c r="E6" s="324"/>
      <c r="F6" s="324"/>
    </row>
    <row r="7" spans="1:6" s="176" customFormat="1" x14ac:dyDescent="0.3">
      <c r="B7" s="323" t="s">
        <v>1663</v>
      </c>
      <c r="C7" s="323" t="str">
        <f>SUBSTITUTE(B7,"(","")</f>
        <v>Atlanta)</v>
      </c>
      <c r="D7" s="323" t="str">
        <f>SUBSTITUTE(C7,")","")</f>
        <v>Atlanta</v>
      </c>
      <c r="E7" s="324"/>
      <c r="F7" s="324"/>
    </row>
    <row r="8" spans="1:6" s="176" customFormat="1" x14ac:dyDescent="0.3">
      <c r="B8" s="323" t="s">
        <v>1664</v>
      </c>
      <c r="C8" s="323" t="str">
        <f t="shared" ref="C8:C13" si="0">SUBSTITUTE(B8,"(","")</f>
        <v>Jacksonville)</v>
      </c>
      <c r="D8" s="323" t="str">
        <f t="shared" ref="D8:D13" si="1">SUBSTITUTE(C8,")","")</f>
        <v>Jacksonville</v>
      </c>
      <c r="E8" s="324"/>
      <c r="F8" s="324"/>
    </row>
    <row r="9" spans="1:6" s="176" customFormat="1" x14ac:dyDescent="0.3">
      <c r="B9" s="323" t="s">
        <v>1665</v>
      </c>
      <c r="C9" s="323" t="str">
        <f t="shared" si="0"/>
        <v>Detroit</v>
      </c>
      <c r="D9" s="323" t="str">
        <f t="shared" si="1"/>
        <v>Detroit</v>
      </c>
      <c r="E9" s="324"/>
      <c r="F9" s="324"/>
    </row>
    <row r="10" spans="1:6" s="176" customFormat="1" x14ac:dyDescent="0.3">
      <c r="B10" s="323" t="s">
        <v>1666</v>
      </c>
      <c r="C10" s="323" t="str">
        <f t="shared" si="0"/>
        <v>Lansing</v>
      </c>
      <c r="D10" s="323" t="str">
        <f t="shared" si="1"/>
        <v>Lansing</v>
      </c>
      <c r="E10" s="324"/>
      <c r="F10" s="324"/>
    </row>
    <row r="11" spans="1:6" s="176" customFormat="1" x14ac:dyDescent="0.3">
      <c r="B11" s="323" t="s">
        <v>1667</v>
      </c>
      <c r="C11" s="323" t="str">
        <f t="shared" si="0"/>
        <v>Dallas)</v>
      </c>
      <c r="D11" s="323" t="str">
        <f t="shared" si="1"/>
        <v>Dallas</v>
      </c>
      <c r="E11" s="324"/>
      <c r="F11" s="324"/>
    </row>
    <row r="12" spans="1:6" s="176" customFormat="1" x14ac:dyDescent="0.3">
      <c r="B12" s="323" t="s">
        <v>1668</v>
      </c>
      <c r="C12" s="323" t="str">
        <f t="shared" si="0"/>
        <v>Boston)</v>
      </c>
      <c r="D12" s="323" t="str">
        <f t="shared" si="1"/>
        <v>Boston</v>
      </c>
      <c r="E12" s="324"/>
      <c r="F12" s="324"/>
    </row>
    <row r="13" spans="1:6" s="176" customFormat="1" x14ac:dyDescent="0.3">
      <c r="B13" s="323" t="s">
        <v>1669</v>
      </c>
      <c r="C13" s="323" t="str">
        <f t="shared" si="0"/>
        <v>Philadelphia</v>
      </c>
      <c r="D13" s="323" t="str">
        <f t="shared" si="1"/>
        <v>Philadelphia</v>
      </c>
      <c r="E13" s="324"/>
      <c r="F13" s="324"/>
    </row>
    <row r="14" spans="1:6" s="176" customFormat="1" x14ac:dyDescent="0.3">
      <c r="B14" s="722" t="s">
        <v>1672</v>
      </c>
      <c r="C14" s="723"/>
      <c r="D14" s="723"/>
      <c r="E14" s="723"/>
      <c r="F14" s="723"/>
    </row>
    <row r="15" spans="1:6" s="176" customFormat="1" x14ac:dyDescent="0.3">
      <c r="B15" s="723"/>
      <c r="C15" s="723"/>
      <c r="D15" s="723"/>
      <c r="E15" s="723"/>
      <c r="F15" s="723"/>
    </row>
    <row r="16" spans="1:6" s="176" customFormat="1" x14ac:dyDescent="0.3">
      <c r="B16" s="723"/>
      <c r="C16" s="723"/>
      <c r="D16" s="723"/>
      <c r="E16" s="723"/>
      <c r="F16" s="723"/>
    </row>
    <row r="17" spans="2:6" s="176" customFormat="1" x14ac:dyDescent="0.3">
      <c r="B17" s="723"/>
      <c r="C17" s="723"/>
      <c r="D17" s="723"/>
      <c r="E17" s="723"/>
      <c r="F17" s="723"/>
    </row>
    <row r="18" spans="2:6" s="176" customFormat="1" x14ac:dyDescent="0.3"/>
    <row r="19" spans="2:6" s="176" customFormat="1" x14ac:dyDescent="0.3"/>
    <row r="20" spans="2:6" s="176" customFormat="1" x14ac:dyDescent="0.3"/>
    <row r="21" spans="2:6" s="176" customFormat="1" x14ac:dyDescent="0.3"/>
  </sheetData>
  <mergeCells count="1">
    <mergeCell ref="B14:F1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zoomScale="120" zoomScaleNormal="120" workbookViewId="0">
      <selection activeCell="C4" sqref="C4"/>
    </sheetView>
  </sheetViews>
  <sheetFormatPr defaultColWidth="9.109375" defaultRowHeight="15.6" x14ac:dyDescent="0.3"/>
  <cols>
    <col min="1" max="1" width="4" style="142" customWidth="1"/>
    <col min="2" max="2" width="89.88671875" style="142" customWidth="1"/>
    <col min="3" max="3" width="9.44140625" style="142" customWidth="1"/>
    <col min="4" max="15" width="10.6640625" style="142" customWidth="1"/>
    <col min="16" max="16384" width="9.109375" style="142"/>
  </cols>
  <sheetData>
    <row r="1" spans="1:10" ht="23.4" x14ac:dyDescent="0.45">
      <c r="A1" s="33" t="s">
        <v>1731</v>
      </c>
      <c r="E1" s="634" t="s">
        <v>3016</v>
      </c>
    </row>
    <row r="3" spans="1:10" ht="31.8" thickBot="1" x14ac:dyDescent="0.35">
      <c r="C3" s="255" t="s">
        <v>1744</v>
      </c>
      <c r="D3" s="254" t="s">
        <v>1743</v>
      </c>
    </row>
    <row r="4" spans="1:10" x14ac:dyDescent="0.3">
      <c r="B4" s="142" t="s">
        <v>1732</v>
      </c>
      <c r="C4" s="242">
        <f>LEN(B4)</f>
        <v>80</v>
      </c>
      <c r="D4" s="242">
        <f t="shared" ref="D4:D10" si="0">C4-C13</f>
        <v>2</v>
      </c>
      <c r="J4" s="383">
        <f t="shared" ref="J4:J10" si="1">LEN(B4)-LEN(SUBSTITUTE(B4,$B$14,""))</f>
        <v>0</v>
      </c>
    </row>
    <row r="5" spans="1:10" x14ac:dyDescent="0.3">
      <c r="B5" s="175" t="s">
        <v>1742</v>
      </c>
      <c r="C5" s="242">
        <f t="shared" ref="C5:C10" si="2">LEN(B5)</f>
        <v>75</v>
      </c>
      <c r="D5" s="242">
        <f t="shared" si="0"/>
        <v>1</v>
      </c>
      <c r="J5" s="383">
        <f t="shared" si="1"/>
        <v>0</v>
      </c>
    </row>
    <row r="6" spans="1:10" x14ac:dyDescent="0.3">
      <c r="B6" s="175" t="s">
        <v>1740</v>
      </c>
      <c r="C6" s="242">
        <f t="shared" si="2"/>
        <v>91</v>
      </c>
      <c r="D6" s="242">
        <f t="shared" si="0"/>
        <v>2</v>
      </c>
      <c r="J6" s="383">
        <f t="shared" si="1"/>
        <v>0</v>
      </c>
    </row>
    <row r="7" spans="1:10" x14ac:dyDescent="0.3">
      <c r="B7" s="175" t="s">
        <v>1741</v>
      </c>
      <c r="C7" s="242">
        <f t="shared" si="2"/>
        <v>69</v>
      </c>
      <c r="D7" s="242">
        <f t="shared" si="0"/>
        <v>1</v>
      </c>
      <c r="J7" s="383">
        <f t="shared" si="1"/>
        <v>0</v>
      </c>
    </row>
    <row r="8" spans="1:10" x14ac:dyDescent="0.3">
      <c r="B8" s="175" t="s">
        <v>1733</v>
      </c>
      <c r="C8" s="242">
        <f t="shared" si="2"/>
        <v>88</v>
      </c>
      <c r="D8" s="242">
        <f t="shared" si="0"/>
        <v>2</v>
      </c>
      <c r="J8" s="383">
        <f t="shared" si="1"/>
        <v>0</v>
      </c>
    </row>
    <row r="9" spans="1:10" x14ac:dyDescent="0.3">
      <c r="B9" s="175" t="s">
        <v>1734</v>
      </c>
      <c r="C9" s="242">
        <f t="shared" si="2"/>
        <v>79</v>
      </c>
      <c r="D9" s="242">
        <f t="shared" si="0"/>
        <v>2</v>
      </c>
      <c r="J9" s="383">
        <f t="shared" si="1"/>
        <v>0</v>
      </c>
    </row>
    <row r="10" spans="1:10" x14ac:dyDescent="0.3">
      <c r="B10" s="175" t="s">
        <v>1735</v>
      </c>
      <c r="C10" s="242">
        <f t="shared" si="2"/>
        <v>67</v>
      </c>
      <c r="D10" s="242">
        <f t="shared" si="0"/>
        <v>1</v>
      </c>
      <c r="J10" s="383">
        <f t="shared" si="1"/>
        <v>0</v>
      </c>
    </row>
    <row r="11" spans="1:10" x14ac:dyDescent="0.3">
      <c r="B11" s="175"/>
      <c r="C11" s="242"/>
      <c r="D11" s="242"/>
      <c r="J11" s="383"/>
    </row>
    <row r="12" spans="1:10" ht="16.2" thickBot="1" x14ac:dyDescent="0.35">
      <c r="B12" s="384" t="s">
        <v>1745</v>
      </c>
      <c r="C12" s="402"/>
      <c r="D12" s="242"/>
    </row>
    <row r="13" spans="1:10" x14ac:dyDescent="0.3">
      <c r="B13" s="385" t="str">
        <f>SUBSTITUTE(B4,"@","")</f>
        <v>Smith, Todd, (770) 543-2344, $35,000, (Manager), ToddABC.com, ToddSmithabc.com</v>
      </c>
      <c r="C13" s="242">
        <f t="shared" ref="C13:C19" si="3">LEN(B13)</f>
        <v>78</v>
      </c>
      <c r="D13" s="242"/>
    </row>
    <row r="14" spans="1:10" x14ac:dyDescent="0.3">
      <c r="B14" s="385" t="str">
        <f t="shared" ref="B14:B19" si="4">SUBSTITUTE(B5,"@","")</f>
        <v>Rogers, Ginger, (800) 555-3224, $1,145,000, (Board Member), GingerFred.com</v>
      </c>
      <c r="C14" s="242">
        <f t="shared" si="3"/>
        <v>74</v>
      </c>
      <c r="D14" s="242"/>
    </row>
    <row r="15" spans="1:10" x14ac:dyDescent="0.3">
      <c r="B15" s="385" t="str">
        <f t="shared" si="4"/>
        <v>Powell, Billy Bob, (512) 433-8772, $23,000, (Sales Rep), Billyhotmail.com, BPowellabc.com</v>
      </c>
      <c r="C15" s="242">
        <f t="shared" si="3"/>
        <v>89</v>
      </c>
      <c r="D15" s="242"/>
    </row>
    <row r="16" spans="1:10" x14ac:dyDescent="0.3">
      <c r="B16" s="385" t="str">
        <f t="shared" si="4"/>
        <v>Sneed, Samuel L., (612) 655-1233, $189,000, (Instructor), Samabc.com</v>
      </c>
      <c r="C16" s="242">
        <f t="shared" si="3"/>
        <v>68</v>
      </c>
      <c r="D16" s="242"/>
    </row>
    <row r="17" spans="2:4" x14ac:dyDescent="0.3">
      <c r="B17" s="385" t="str">
        <f t="shared" si="4"/>
        <v>Johnson, Gretta, (779) 233-4775, $67,000, (Sr. Manager), Grettaabc.com, GrettaJabc.com</v>
      </c>
      <c r="C17" s="242">
        <f t="shared" si="3"/>
        <v>86</v>
      </c>
      <c r="D17" s="242"/>
    </row>
    <row r="18" spans="2:4" x14ac:dyDescent="0.3">
      <c r="B18" s="385" t="str">
        <f t="shared" si="4"/>
        <v>Cook, Jim, (900) 232-6363, $55,000, (Support), Jimhotmail.com, JimJimcook.com</v>
      </c>
      <c r="C18" s="242">
        <f t="shared" si="3"/>
        <v>77</v>
      </c>
      <c r="D18" s="242"/>
    </row>
    <row r="19" spans="2:4" x14ac:dyDescent="0.3">
      <c r="B19" s="385" t="str">
        <f t="shared" si="4"/>
        <v>Olgesby, Kathy, (212) 444-5766, ($88,000), (Marketing), Katabc.com</v>
      </c>
      <c r="C19" s="242">
        <f t="shared" si="3"/>
        <v>66</v>
      </c>
      <c r="D19" s="242"/>
    </row>
    <row r="20" spans="2:4" x14ac:dyDescent="0.3">
      <c r="C20" s="242"/>
      <c r="D20" s="24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zoomScale="120" zoomScaleNormal="120" workbookViewId="0">
      <selection activeCell="E4" sqref="E4"/>
    </sheetView>
  </sheetViews>
  <sheetFormatPr defaultColWidth="9.109375" defaultRowHeight="15.6" x14ac:dyDescent="0.3"/>
  <cols>
    <col min="1" max="1" width="4.5546875" style="142" customWidth="1"/>
    <col min="2" max="2" width="89.88671875" style="142" customWidth="1"/>
    <col min="3" max="3" width="9.44140625" style="142" customWidth="1"/>
    <col min="4" max="4" width="10.6640625" style="142" customWidth="1"/>
    <col min="5" max="5" width="26.33203125" style="142" customWidth="1"/>
    <col min="6" max="6" width="13" style="142" customWidth="1"/>
    <col min="7" max="7" width="79.44140625" style="142" customWidth="1"/>
    <col min="8" max="8" width="13" style="142" customWidth="1"/>
    <col min="9" max="9" width="10.109375" style="142" customWidth="1"/>
    <col min="10" max="11" width="25.109375" style="142" customWidth="1"/>
    <col min="12" max="32" width="10.6640625" style="142" customWidth="1"/>
    <col min="33" max="16384" width="9.109375" style="142"/>
  </cols>
  <sheetData>
    <row r="1" spans="1:11" ht="23.4" x14ac:dyDescent="0.45">
      <c r="A1" s="366" t="s">
        <v>1749</v>
      </c>
      <c r="E1" s="634" t="s">
        <v>3016</v>
      </c>
    </row>
    <row r="2" spans="1:11" x14ac:dyDescent="0.3">
      <c r="J2" s="724" t="s">
        <v>1752</v>
      </c>
      <c r="K2" s="724"/>
    </row>
    <row r="3" spans="1:11" ht="47.4" thickBot="1" x14ac:dyDescent="0.35">
      <c r="E3" s="254" t="s">
        <v>1739</v>
      </c>
      <c r="F3" s="254" t="s">
        <v>1736</v>
      </c>
      <c r="G3" s="253" t="s">
        <v>1737</v>
      </c>
      <c r="H3" s="253" t="s">
        <v>1738</v>
      </c>
      <c r="I3" s="375"/>
      <c r="J3" s="255" t="s">
        <v>1750</v>
      </c>
      <c r="K3" s="255" t="s">
        <v>1751</v>
      </c>
    </row>
    <row r="4" spans="1:11" ht="16.8" x14ac:dyDescent="0.35">
      <c r="B4" s="142" t="s">
        <v>1732</v>
      </c>
      <c r="C4" s="376">
        <f>LEN(B4)-LEN(SUBSTITUTE(B4,"@",""))</f>
        <v>2</v>
      </c>
      <c r="E4" s="142" t="str">
        <f>RIGHT(B4,LEN(B4)-SEARCH("#",SUBSTITUTE(B4," ","#",LEN(B4)-LEN(SUBSTITUTE(B4," ","")))))</f>
        <v>ToddSmith@abc.com</v>
      </c>
      <c r="F4" s="142">
        <f>LEN(E4)</f>
        <v>17</v>
      </c>
      <c r="G4" s="142" t="str">
        <f>LEFT(B4,(LEN(B4)-F4-2))</f>
        <v>Smith, Todd, (770) 543-2344, $35,000, (Manager), Todd@ABC.com</v>
      </c>
      <c r="H4" s="142" t="str">
        <f>RIGHT(G4,LEN(G4)-SEARCH("#",SUBSTITUTE(G4," ","#",LEN(G4)-LEN(SUBSTITUTE(G4," ","")))))</f>
        <v>Todd@ABC.com</v>
      </c>
      <c r="J4" s="377" t="str">
        <f>IF(C4=1,E4,H4)</f>
        <v>Todd@ABC.com</v>
      </c>
      <c r="K4" s="377" t="str">
        <f>IF(C4=2,E4,"")</f>
        <v>ToddSmith@abc.com</v>
      </c>
    </row>
    <row r="5" spans="1:11" ht="16.8" x14ac:dyDescent="0.35">
      <c r="B5" s="175" t="s">
        <v>1742</v>
      </c>
      <c r="C5" s="376">
        <f t="shared" ref="C5:C10" si="0">LEN(B5)-LEN(SUBSTITUTE(B5,"@",""))</f>
        <v>1</v>
      </c>
      <c r="E5" s="142" t="str">
        <f t="shared" ref="E5:E10" si="1">RIGHT(B5,LEN(B5)-SEARCH("#",SUBSTITUTE(B5," ","#",LEN(B5)-LEN(SUBSTITUTE(B5," ","")))))</f>
        <v>Ginger@Fred.com</v>
      </c>
      <c r="F5" s="142">
        <f t="shared" ref="F5:F10" si="2">LEN(E5)</f>
        <v>15</v>
      </c>
      <c r="G5" s="142" t="str">
        <f t="shared" ref="G5:G10" si="3">LEFT(B5,(LEN(B5)-F5-2))</f>
        <v>Rogers, Ginger, (800) 555-3224, $1,145,000, (Board Member)</v>
      </c>
      <c r="H5" s="142" t="str">
        <f t="shared" ref="H5:H10" si="4">RIGHT(G5,LEN(G5)-SEARCH("#",SUBSTITUTE(G5," ","#",LEN(G5)-LEN(SUBSTITUTE(G5," ","")))))</f>
        <v>Member)</v>
      </c>
      <c r="J5" s="207" t="str">
        <f t="shared" ref="J5:J10" si="5">IF(C5=1,E5,H5)</f>
        <v>Ginger@Fred.com</v>
      </c>
      <c r="K5" s="207" t="str">
        <f t="shared" ref="K5:K10" si="6">IF(C5=2,E5,"")</f>
        <v/>
      </c>
    </row>
    <row r="6" spans="1:11" ht="16.8" x14ac:dyDescent="0.35">
      <c r="B6" s="175" t="s">
        <v>1740</v>
      </c>
      <c r="C6" s="376">
        <f t="shared" si="0"/>
        <v>2</v>
      </c>
      <c r="E6" s="142" t="str">
        <f t="shared" si="1"/>
        <v>BPowell@abc.com</v>
      </c>
      <c r="F6" s="142">
        <f t="shared" si="2"/>
        <v>15</v>
      </c>
      <c r="G6" s="142" t="str">
        <f t="shared" si="3"/>
        <v>Powell, Billy Bob, (512) 433-8772, $23,000, (Sales Rep), Billy@hotmail.com</v>
      </c>
      <c r="H6" s="142" t="str">
        <f t="shared" si="4"/>
        <v>Billy@hotmail.com</v>
      </c>
      <c r="J6" s="207" t="str">
        <f t="shared" si="5"/>
        <v>Billy@hotmail.com</v>
      </c>
      <c r="K6" s="207" t="str">
        <f t="shared" si="6"/>
        <v>BPowell@abc.com</v>
      </c>
    </row>
    <row r="7" spans="1:11" ht="16.8" x14ac:dyDescent="0.35">
      <c r="B7" s="175" t="s">
        <v>1741</v>
      </c>
      <c r="C7" s="376">
        <f t="shared" si="0"/>
        <v>1</v>
      </c>
      <c r="E7" s="142" t="str">
        <f t="shared" si="1"/>
        <v>Sam@abc.com</v>
      </c>
      <c r="F7" s="142">
        <f t="shared" si="2"/>
        <v>11</v>
      </c>
      <c r="G7" s="142" t="str">
        <f t="shared" si="3"/>
        <v>Sneed, Samuel L., (612) 655-1233, $189,000, (Instructor)</v>
      </c>
      <c r="H7" s="142" t="str">
        <f t="shared" si="4"/>
        <v>(Instructor)</v>
      </c>
      <c r="J7" s="207" t="str">
        <f t="shared" si="5"/>
        <v>Sam@abc.com</v>
      </c>
      <c r="K7" s="207" t="str">
        <f t="shared" si="6"/>
        <v/>
      </c>
    </row>
    <row r="8" spans="1:11" ht="16.8" x14ac:dyDescent="0.35">
      <c r="B8" s="175" t="s">
        <v>1733</v>
      </c>
      <c r="C8" s="376">
        <f t="shared" si="0"/>
        <v>2</v>
      </c>
      <c r="E8" s="142" t="str">
        <f t="shared" si="1"/>
        <v>GrettaJ@abc.com</v>
      </c>
      <c r="F8" s="142">
        <f t="shared" si="2"/>
        <v>15</v>
      </c>
      <c r="G8" s="142" t="str">
        <f t="shared" si="3"/>
        <v>Johnson, Gretta, (779) 233-4775, $67,000, (Sr. Manager), Gretta@abc.com</v>
      </c>
      <c r="H8" s="142" t="str">
        <f t="shared" si="4"/>
        <v>Gretta@abc.com</v>
      </c>
      <c r="J8" s="207" t="str">
        <f t="shared" si="5"/>
        <v>Gretta@abc.com</v>
      </c>
      <c r="K8" s="207" t="str">
        <f t="shared" si="6"/>
        <v>GrettaJ@abc.com</v>
      </c>
    </row>
    <row r="9" spans="1:11" ht="16.8" x14ac:dyDescent="0.35">
      <c r="B9" s="175" t="s">
        <v>1734</v>
      </c>
      <c r="C9" s="376">
        <f t="shared" si="0"/>
        <v>2</v>
      </c>
      <c r="E9" s="142" t="str">
        <f t="shared" si="1"/>
        <v>Jim@Jimcook.com</v>
      </c>
      <c r="F9" s="142">
        <f t="shared" si="2"/>
        <v>15</v>
      </c>
      <c r="G9" s="142" t="str">
        <f t="shared" si="3"/>
        <v>Cook, Jim, (900) 232-6363, $55,000, (Support), Jim@hotmail.com</v>
      </c>
      <c r="H9" s="142" t="str">
        <f t="shared" si="4"/>
        <v>Jim@hotmail.com</v>
      </c>
      <c r="J9" s="207" t="str">
        <f t="shared" si="5"/>
        <v>Jim@hotmail.com</v>
      </c>
      <c r="K9" s="207" t="str">
        <f t="shared" si="6"/>
        <v>Jim@Jimcook.com</v>
      </c>
    </row>
    <row r="10" spans="1:11" ht="16.8" x14ac:dyDescent="0.35">
      <c r="B10" s="175" t="s">
        <v>1735</v>
      </c>
      <c r="C10" s="376">
        <f t="shared" si="0"/>
        <v>1</v>
      </c>
      <c r="E10" s="142" t="str">
        <f t="shared" si="1"/>
        <v>Kat@abc.com</v>
      </c>
      <c r="F10" s="142">
        <f t="shared" si="2"/>
        <v>11</v>
      </c>
      <c r="G10" s="142" t="str">
        <f t="shared" si="3"/>
        <v>Olgesby, Kathy, (212) 444-5766, ($88,000), (Marketing)</v>
      </c>
      <c r="H10" s="142" t="str">
        <f t="shared" si="4"/>
        <v>(Marketing)</v>
      </c>
      <c r="J10" s="207" t="str">
        <f t="shared" si="5"/>
        <v>Kat@abc.com</v>
      </c>
      <c r="K10" s="207" t="str">
        <f t="shared" si="6"/>
        <v/>
      </c>
    </row>
    <row r="11" spans="1:11" ht="16.8" x14ac:dyDescent="0.35">
      <c r="B11" s="175"/>
      <c r="C11" s="376"/>
    </row>
    <row r="12" spans="1:11" ht="16.8" x14ac:dyDescent="0.35">
      <c r="B12" s="175"/>
      <c r="C12" s="376"/>
    </row>
    <row r="13" spans="1:11" ht="16.8" x14ac:dyDescent="0.35">
      <c r="B13" s="378" t="s">
        <v>1748</v>
      </c>
      <c r="C13" s="376"/>
    </row>
    <row r="14" spans="1:11" ht="16.8" x14ac:dyDescent="0.35">
      <c r="B14" s="175"/>
      <c r="C14" s="376"/>
    </row>
    <row r="15" spans="1:11" ht="16.8" x14ac:dyDescent="0.35">
      <c r="B15" s="175"/>
      <c r="C15" s="376"/>
    </row>
    <row r="16" spans="1:11" ht="16.8" x14ac:dyDescent="0.35">
      <c r="B16" s="175"/>
      <c r="C16" s="376"/>
    </row>
    <row r="17" spans="1:3" ht="16.8" x14ac:dyDescent="0.35">
      <c r="B17" s="175"/>
      <c r="C17" s="376"/>
    </row>
    <row r="18" spans="1:3" ht="16.8" x14ac:dyDescent="0.35">
      <c r="B18" s="175"/>
      <c r="C18" s="376"/>
    </row>
    <row r="19" spans="1:3" ht="16.8" x14ac:dyDescent="0.35">
      <c r="B19" s="175"/>
      <c r="C19" s="376"/>
    </row>
    <row r="20" spans="1:3" ht="16.8" x14ac:dyDescent="0.35">
      <c r="B20" s="175"/>
      <c r="C20" s="376"/>
    </row>
    <row r="21" spans="1:3" ht="16.8" x14ac:dyDescent="0.35">
      <c r="B21" s="175"/>
      <c r="C21" s="376"/>
    </row>
    <row r="22" spans="1:3" ht="16.8" x14ac:dyDescent="0.35">
      <c r="B22" s="175"/>
      <c r="C22" s="376"/>
    </row>
    <row r="23" spans="1:3" ht="16.8" x14ac:dyDescent="0.35">
      <c r="B23" s="175"/>
      <c r="C23" s="376"/>
    </row>
    <row r="24" spans="1:3" ht="16.8" x14ac:dyDescent="0.35">
      <c r="B24" s="175"/>
      <c r="C24" s="376"/>
    </row>
    <row r="25" spans="1:3" ht="16.8" x14ac:dyDescent="0.35">
      <c r="B25" s="175"/>
      <c r="C25" s="376"/>
    </row>
    <row r="26" spans="1:3" ht="16.8" x14ac:dyDescent="0.35">
      <c r="B26" s="175"/>
      <c r="C26" s="376"/>
    </row>
    <row r="27" spans="1:3" ht="16.8" x14ac:dyDescent="0.35">
      <c r="B27" s="175"/>
      <c r="C27" s="376"/>
    </row>
    <row r="28" spans="1:3" ht="16.8" x14ac:dyDescent="0.35">
      <c r="B28" s="175" t="s">
        <v>1732</v>
      </c>
      <c r="C28" s="376"/>
    </row>
    <row r="29" spans="1:3" ht="16.8" x14ac:dyDescent="0.35">
      <c r="B29" s="175"/>
      <c r="C29" s="376"/>
    </row>
    <row r="30" spans="1:3" ht="16.8" x14ac:dyDescent="0.35">
      <c r="B30" s="250" t="s">
        <v>1747</v>
      </c>
      <c r="C30" s="376"/>
    </row>
    <row r="31" spans="1:3" ht="16.8" x14ac:dyDescent="0.35">
      <c r="A31" s="207">
        <v>1</v>
      </c>
      <c r="B31" s="379">
        <f>LEN(B28)</f>
        <v>80</v>
      </c>
      <c r="C31" s="376"/>
    </row>
    <row r="32" spans="1:3" ht="16.8" x14ac:dyDescent="0.35">
      <c r="A32" s="207">
        <v>2</v>
      </c>
      <c r="B32" s="379" t="str">
        <f>SUBSTITUTE(B28," ","")</f>
        <v>Smith,Todd,(770)543-2344,$35,000,(Manager),Todd@ABC.com,ToddSmith@abc.com</v>
      </c>
      <c r="C32" s="376"/>
    </row>
    <row r="33" spans="1:13" ht="16.8" x14ac:dyDescent="0.35">
      <c r="A33" s="207">
        <v>3</v>
      </c>
      <c r="B33" s="380">
        <f>LEN(B32)</f>
        <v>73</v>
      </c>
      <c r="C33" s="381"/>
    </row>
    <row r="34" spans="1:13" x14ac:dyDescent="0.3">
      <c r="A34" s="207">
        <v>4</v>
      </c>
      <c r="B34" s="382">
        <f>B31-B33</f>
        <v>7</v>
      </c>
      <c r="C34" s="381"/>
    </row>
    <row r="35" spans="1:13" x14ac:dyDescent="0.3">
      <c r="A35" s="207">
        <v>5</v>
      </c>
      <c r="B35" s="207" t="str">
        <f>SUBSTITUTE(B28," ","#",B34)</f>
        <v>Smith, Todd, (770) 543-2344, $35,000, (Manager), Todd@ABC.com,#ToddSmith@abc.com</v>
      </c>
      <c r="C35" s="381"/>
    </row>
    <row r="36" spans="1:13" x14ac:dyDescent="0.3">
      <c r="A36" s="207">
        <v>6</v>
      </c>
      <c r="B36" s="379">
        <f>SEARCH("#",B35)</f>
        <v>63</v>
      </c>
      <c r="M36" s="179" t="s">
        <v>1746</v>
      </c>
    </row>
    <row r="37" spans="1:13" x14ac:dyDescent="0.3">
      <c r="A37" s="207">
        <v>7</v>
      </c>
      <c r="B37" s="382">
        <f>B31-B36</f>
        <v>17</v>
      </c>
    </row>
    <row r="38" spans="1:13" x14ac:dyDescent="0.3">
      <c r="A38" s="207">
        <v>8</v>
      </c>
      <c r="B38" s="207" t="str">
        <f>RIGHT(B28,B37)</f>
        <v>ToddSmith@abc.com</v>
      </c>
    </row>
  </sheetData>
  <mergeCells count="1">
    <mergeCell ref="J2:K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election activeCell="F5" sqref="F5"/>
    </sheetView>
  </sheetViews>
  <sheetFormatPr defaultColWidth="9.109375" defaultRowHeight="15.6" x14ac:dyDescent="0.3"/>
  <cols>
    <col min="1" max="1" width="9.109375" style="142"/>
    <col min="2" max="2" width="23.88671875" style="142" customWidth="1"/>
    <col min="3" max="3" width="26.6640625" style="142" customWidth="1"/>
    <col min="4" max="4" width="29.109375" style="142" customWidth="1"/>
    <col min="5" max="5" width="19" style="142" customWidth="1"/>
    <col min="6" max="6" width="16.44140625" style="142" customWidth="1"/>
    <col min="7" max="7" width="14.109375" style="142" customWidth="1"/>
    <col min="8" max="16384" width="9.109375" style="142"/>
  </cols>
  <sheetData>
    <row r="1" spans="1:7" ht="23.4" x14ac:dyDescent="0.45">
      <c r="A1" s="33" t="s">
        <v>1660</v>
      </c>
      <c r="G1" s="634" t="s">
        <v>3016</v>
      </c>
    </row>
    <row r="2" spans="1:7" s="176" customFormat="1" x14ac:dyDescent="0.3">
      <c r="B2" s="324"/>
      <c r="C2" s="324"/>
      <c r="D2" s="324"/>
      <c r="E2" s="324"/>
      <c r="F2" s="324"/>
    </row>
    <row r="3" spans="1:7" s="176" customFormat="1" x14ac:dyDescent="0.3">
      <c r="B3" s="324"/>
      <c r="C3" s="324"/>
      <c r="D3" s="324"/>
      <c r="E3" s="324"/>
      <c r="F3" s="324"/>
    </row>
    <row r="4" spans="1:7" s="176" customFormat="1" ht="16.2" thickBot="1" x14ac:dyDescent="0.35">
      <c r="B4" s="372" t="s">
        <v>177</v>
      </c>
      <c r="C4" s="372" t="s">
        <v>182</v>
      </c>
      <c r="D4" s="372" t="s">
        <v>1686</v>
      </c>
      <c r="E4" s="372" t="s">
        <v>184</v>
      </c>
      <c r="F4" s="372" t="s">
        <v>1687</v>
      </c>
    </row>
    <row r="5" spans="1:7" s="176" customFormat="1" x14ac:dyDescent="0.3">
      <c r="B5" s="265" t="s">
        <v>727</v>
      </c>
      <c r="C5" s="265" t="s">
        <v>728</v>
      </c>
      <c r="D5" s="265" t="s">
        <v>729</v>
      </c>
      <c r="E5" s="373" t="s">
        <v>1683</v>
      </c>
      <c r="F5" s="374" t="str">
        <f>REPLACE(E5,4,1," ")</f>
        <v>912 638-5009</v>
      </c>
    </row>
    <row r="6" spans="1:7" s="176" customFormat="1" x14ac:dyDescent="0.3">
      <c r="B6" s="265" t="s">
        <v>731</v>
      </c>
      <c r="C6" s="265" t="s">
        <v>732</v>
      </c>
      <c r="D6" s="265" t="s">
        <v>733</v>
      </c>
      <c r="E6" s="265" t="s">
        <v>734</v>
      </c>
      <c r="F6" s="374" t="str">
        <f t="shared" ref="F6:F20" si="0">REPLACE(E6,4,1," ")</f>
        <v>478 968-5313</v>
      </c>
    </row>
    <row r="7" spans="1:7" s="176" customFormat="1" x14ac:dyDescent="0.3">
      <c r="B7" s="265" t="s">
        <v>736</v>
      </c>
      <c r="C7" s="265" t="s">
        <v>913</v>
      </c>
      <c r="D7" s="265" t="s">
        <v>914</v>
      </c>
      <c r="E7" s="373" t="s">
        <v>1679</v>
      </c>
      <c r="F7" s="374" t="str">
        <f t="shared" si="0"/>
        <v>904 268-0851</v>
      </c>
    </row>
    <row r="8" spans="1:7" s="176" customFormat="1" x14ac:dyDescent="0.3">
      <c r="B8" s="265" t="s">
        <v>737</v>
      </c>
      <c r="C8" s="265" t="s">
        <v>918</v>
      </c>
      <c r="D8" s="266" t="s">
        <v>919</v>
      </c>
      <c r="E8" s="373" t="s">
        <v>1676</v>
      </c>
      <c r="F8" s="374" t="str">
        <f t="shared" si="0"/>
        <v>912 265-8716</v>
      </c>
    </row>
    <row r="9" spans="1:7" s="176" customFormat="1" x14ac:dyDescent="0.3">
      <c r="B9" s="265" t="s">
        <v>738</v>
      </c>
      <c r="C9" s="265" t="s">
        <v>921</v>
      </c>
      <c r="D9" s="265" t="s">
        <v>850</v>
      </c>
      <c r="E9" s="373" t="s">
        <v>1680</v>
      </c>
      <c r="F9" s="374" t="str">
        <f t="shared" si="0"/>
        <v>912 369-3354</v>
      </c>
    </row>
    <row r="10" spans="1:7" s="176" customFormat="1" x14ac:dyDescent="0.3">
      <c r="B10" s="265" t="s">
        <v>739</v>
      </c>
      <c r="C10" s="265" t="s">
        <v>924</v>
      </c>
      <c r="D10" s="265" t="s">
        <v>925</v>
      </c>
      <c r="E10" s="373" t="s">
        <v>1678</v>
      </c>
      <c r="F10" s="374" t="str">
        <f t="shared" si="0"/>
        <v>912 638-7973</v>
      </c>
    </row>
    <row r="11" spans="1:7" s="176" customFormat="1" x14ac:dyDescent="0.3">
      <c r="B11" s="265" t="s">
        <v>740</v>
      </c>
      <c r="C11" s="265" t="s">
        <v>928</v>
      </c>
      <c r="D11" s="265" t="s">
        <v>754</v>
      </c>
      <c r="E11" s="373" t="s">
        <v>1684</v>
      </c>
      <c r="F11" s="374" t="str">
        <f t="shared" si="0"/>
        <v>255 445-6778</v>
      </c>
    </row>
    <row r="12" spans="1:7" s="176" customFormat="1" x14ac:dyDescent="0.3">
      <c r="B12" s="265" t="s">
        <v>741</v>
      </c>
      <c r="C12" s="265" t="s">
        <v>742</v>
      </c>
      <c r="D12" s="265" t="s">
        <v>743</v>
      </c>
      <c r="E12" s="265" t="s">
        <v>744</v>
      </c>
      <c r="F12" s="374" t="str">
        <f t="shared" si="0"/>
        <v>404 212-1981</v>
      </c>
    </row>
    <row r="13" spans="1:7" s="176" customFormat="1" x14ac:dyDescent="0.3">
      <c r="B13" s="265" t="s">
        <v>746</v>
      </c>
      <c r="C13" s="265" t="s">
        <v>747</v>
      </c>
      <c r="D13" s="266" t="s">
        <v>748</v>
      </c>
      <c r="E13" s="265" t="s">
        <v>749</v>
      </c>
      <c r="F13" s="374" t="str">
        <f t="shared" si="0"/>
        <v>336 764-3532</v>
      </c>
    </row>
    <row r="14" spans="1:7" s="176" customFormat="1" x14ac:dyDescent="0.3">
      <c r="B14" s="265" t="s">
        <v>751</v>
      </c>
      <c r="C14" s="265" t="s">
        <v>1691</v>
      </c>
      <c r="D14" s="373" t="s">
        <v>1692</v>
      </c>
      <c r="E14" s="373" t="s">
        <v>1681</v>
      </c>
      <c r="F14" s="374" t="str">
        <f t="shared" si="0"/>
        <v>455 668-8923</v>
      </c>
    </row>
    <row r="15" spans="1:7" s="176" customFormat="1" x14ac:dyDescent="0.3">
      <c r="B15" s="265" t="s">
        <v>752</v>
      </c>
      <c r="C15" s="265" t="s">
        <v>753</v>
      </c>
      <c r="D15" s="265" t="s">
        <v>754</v>
      </c>
      <c r="E15" s="373" t="s">
        <v>1677</v>
      </c>
      <c r="F15" s="374" t="str">
        <f t="shared" si="0"/>
        <v>912 264-5910</v>
      </c>
    </row>
    <row r="16" spans="1:7" s="176" customFormat="1" x14ac:dyDescent="0.3">
      <c r="B16" s="265" t="s">
        <v>756</v>
      </c>
      <c r="C16" s="265" t="s">
        <v>1689</v>
      </c>
      <c r="D16" s="373" t="s">
        <v>1690</v>
      </c>
      <c r="E16" s="373" t="s">
        <v>1685</v>
      </c>
      <c r="F16" s="374" t="str">
        <f t="shared" si="0"/>
        <v>344 654-8990</v>
      </c>
    </row>
    <row r="17" spans="2:6" s="176" customFormat="1" x14ac:dyDescent="0.3">
      <c r="B17" s="266" t="s">
        <v>757</v>
      </c>
      <c r="C17" s="265" t="s">
        <v>1688</v>
      </c>
      <c r="D17" s="265" t="s">
        <v>758</v>
      </c>
      <c r="E17" s="265" t="s">
        <v>759</v>
      </c>
      <c r="F17" s="374" t="str">
        <f t="shared" si="0"/>
        <v>904 268-0851</v>
      </c>
    </row>
    <row r="18" spans="2:6" s="176" customFormat="1" x14ac:dyDescent="0.3">
      <c r="B18" s="265" t="s">
        <v>760</v>
      </c>
      <c r="C18" s="265" t="s">
        <v>761</v>
      </c>
      <c r="D18" s="265" t="s">
        <v>754</v>
      </c>
      <c r="E18" s="373" t="s">
        <v>762</v>
      </c>
      <c r="F18" s="374" t="str">
        <f t="shared" si="0"/>
        <v>912 265-2616</v>
      </c>
    </row>
    <row r="19" spans="2:6" s="176" customFormat="1" x14ac:dyDescent="0.3">
      <c r="B19" s="265" t="s">
        <v>763</v>
      </c>
      <c r="C19" s="265" t="s">
        <v>764</v>
      </c>
      <c r="D19" s="265" t="s">
        <v>765</v>
      </c>
      <c r="E19" s="373" t="s">
        <v>1682</v>
      </c>
      <c r="F19" s="374" t="str">
        <f t="shared" si="0"/>
        <v>912 369-3336</v>
      </c>
    </row>
    <row r="20" spans="2:6" s="176" customFormat="1" x14ac:dyDescent="0.3">
      <c r="B20" s="265" t="s">
        <v>768</v>
      </c>
      <c r="C20" s="265" t="s">
        <v>769</v>
      </c>
      <c r="D20" s="265" t="s">
        <v>770</v>
      </c>
      <c r="E20" s="265" t="s">
        <v>771</v>
      </c>
      <c r="F20" s="374" t="str">
        <f t="shared" si="0"/>
        <v>912 638-8873</v>
      </c>
    </row>
    <row r="21" spans="2:6" s="176" customFormat="1" x14ac:dyDescent="0.3">
      <c r="F21" s="324"/>
    </row>
    <row r="22" spans="2:6" s="176" customFormat="1" x14ac:dyDescent="0.3"/>
    <row r="23" spans="2:6" s="176" customFormat="1" x14ac:dyDescent="0.3">
      <c r="B23" s="723" t="s">
        <v>1670</v>
      </c>
      <c r="C23" s="723"/>
      <c r="D23" s="723"/>
      <c r="E23" s="723"/>
      <c r="F23" s="723"/>
    </row>
    <row r="24" spans="2:6" s="176" customFormat="1" x14ac:dyDescent="0.3">
      <c r="B24" s="723"/>
      <c r="C24" s="723"/>
      <c r="D24" s="723"/>
      <c r="E24" s="723"/>
      <c r="F24" s="723"/>
    </row>
    <row r="25" spans="2:6" s="176" customFormat="1" x14ac:dyDescent="0.3">
      <c r="B25" s="723"/>
      <c r="C25" s="723"/>
      <c r="D25" s="723"/>
      <c r="E25" s="723"/>
      <c r="F25" s="723"/>
    </row>
    <row r="26" spans="2:6" s="176" customFormat="1" x14ac:dyDescent="0.3">
      <c r="B26" s="723"/>
      <c r="C26" s="723"/>
      <c r="D26" s="723"/>
      <c r="E26" s="723"/>
      <c r="F26" s="723"/>
    </row>
    <row r="27" spans="2:6" s="176" customFormat="1" x14ac:dyDescent="0.3"/>
    <row r="28" spans="2:6" s="176" customFormat="1" x14ac:dyDescent="0.3"/>
    <row r="29" spans="2:6" s="176" customFormat="1" x14ac:dyDescent="0.3"/>
    <row r="30" spans="2:6" s="176" customFormat="1" x14ac:dyDescent="0.3"/>
  </sheetData>
  <mergeCells count="1">
    <mergeCell ref="B23:F2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election activeCell="F5" sqref="F5"/>
    </sheetView>
  </sheetViews>
  <sheetFormatPr defaultColWidth="9.109375" defaultRowHeight="15.6" x14ac:dyDescent="0.3"/>
  <cols>
    <col min="1" max="1" width="9.109375" style="142"/>
    <col min="2" max="3" width="15.6640625" style="142" customWidth="1"/>
    <col min="4" max="4" width="14.6640625" style="142" customWidth="1"/>
    <col min="5" max="5" width="5.33203125" style="142" customWidth="1"/>
    <col min="6" max="6" width="75" style="142" customWidth="1"/>
    <col min="7" max="7" width="15.6640625" style="142" customWidth="1"/>
    <col min="8" max="16384" width="9.109375" style="142"/>
  </cols>
  <sheetData>
    <row r="1" spans="1:7" ht="23.4" x14ac:dyDescent="0.45">
      <c r="A1" s="33" t="s">
        <v>1695</v>
      </c>
      <c r="G1" s="634" t="s">
        <v>3016</v>
      </c>
    </row>
    <row r="2" spans="1:7" ht="23.4" x14ac:dyDescent="0.45">
      <c r="A2" s="33" t="s">
        <v>1696</v>
      </c>
    </row>
    <row r="4" spans="1:7" ht="31.8" thickBot="1" x14ac:dyDescent="0.35">
      <c r="B4" s="253" t="s">
        <v>205</v>
      </c>
      <c r="C4" s="254" t="s">
        <v>206</v>
      </c>
      <c r="D4" s="253" t="s">
        <v>1727</v>
      </c>
    </row>
    <row r="5" spans="1:7" x14ac:dyDescent="0.3">
      <c r="B5" s="265" t="s">
        <v>1698</v>
      </c>
      <c r="C5" s="265" t="s">
        <v>1697</v>
      </c>
      <c r="D5" s="371">
        <v>72000</v>
      </c>
      <c r="F5" s="174" t="str">
        <f>C5&amp;" "&amp;B5&amp;" has made politcal contributions in the amount of "&amp;TEXT(D5,"$###,###")</f>
        <v>Alan Akers has made politcal contributions in the amount of $72,000</v>
      </c>
    </row>
    <row r="6" spans="1:7" x14ac:dyDescent="0.3">
      <c r="B6" s="265" t="s">
        <v>1700</v>
      </c>
      <c r="C6" s="265" t="s">
        <v>1699</v>
      </c>
      <c r="D6" s="371">
        <v>46000</v>
      </c>
      <c r="F6" s="174" t="str">
        <f t="shared" ref="F6:F20" si="0">C6&amp;" "&amp;B6&amp;" has made politcal contributions in the amount of "&amp;TEXT(D6,"$###,###")</f>
        <v>Robin Allen has made politcal contributions in the amount of $46,000</v>
      </c>
    </row>
    <row r="7" spans="1:7" x14ac:dyDescent="0.3">
      <c r="B7" s="265" t="s">
        <v>1702</v>
      </c>
      <c r="C7" s="265" t="s">
        <v>1701</v>
      </c>
      <c r="D7" s="371">
        <v>123700</v>
      </c>
      <c r="F7" s="174" t="str">
        <f t="shared" si="0"/>
        <v>Ricky Albright has made politcal contributions in the amount of $123,700</v>
      </c>
    </row>
    <row r="8" spans="1:7" x14ac:dyDescent="0.3">
      <c r="B8" s="265" t="s">
        <v>1704</v>
      </c>
      <c r="C8" s="265" t="s">
        <v>1703</v>
      </c>
      <c r="D8" s="371">
        <v>324000</v>
      </c>
      <c r="F8" s="174" t="str">
        <f t="shared" si="0"/>
        <v>Tamara Andrews has made politcal contributions in the amount of $324,000</v>
      </c>
    </row>
    <row r="9" spans="1:7" x14ac:dyDescent="0.3">
      <c r="B9" s="265" t="s">
        <v>1706</v>
      </c>
      <c r="C9" s="265" t="s">
        <v>1705</v>
      </c>
      <c r="D9" s="371">
        <v>53400</v>
      </c>
      <c r="F9" s="174" t="str">
        <f t="shared" si="0"/>
        <v>Joanna Arbo has made politcal contributions in the amount of $53,400</v>
      </c>
    </row>
    <row r="10" spans="1:7" x14ac:dyDescent="0.3">
      <c r="B10" s="265" t="s">
        <v>1708</v>
      </c>
      <c r="C10" s="265" t="s">
        <v>1707</v>
      </c>
      <c r="D10" s="371">
        <v>189300</v>
      </c>
      <c r="F10" s="174" t="str">
        <f t="shared" si="0"/>
        <v>Donnie Aspinwall has made politcal contributions in the amount of $189,300</v>
      </c>
    </row>
    <row r="11" spans="1:7" x14ac:dyDescent="0.3">
      <c r="B11" s="265" t="s">
        <v>1710</v>
      </c>
      <c r="C11" s="265" t="s">
        <v>1709</v>
      </c>
      <c r="D11" s="371">
        <v>210800</v>
      </c>
      <c r="F11" s="174" t="str">
        <f t="shared" si="0"/>
        <v>Kelly Astle has made politcal contributions in the amount of $210,800</v>
      </c>
    </row>
    <row r="12" spans="1:7" x14ac:dyDescent="0.3">
      <c r="B12" s="265" t="s">
        <v>1712</v>
      </c>
      <c r="C12" s="265" t="s">
        <v>1711</v>
      </c>
      <c r="D12" s="371">
        <v>119000</v>
      </c>
      <c r="F12" s="174" t="str">
        <f t="shared" si="0"/>
        <v>Alphonso Atkinson has made politcal contributions in the amount of $119,000</v>
      </c>
    </row>
    <row r="13" spans="1:7" x14ac:dyDescent="0.3">
      <c r="B13" s="265" t="s">
        <v>1712</v>
      </c>
      <c r="C13" s="265" t="s">
        <v>1713</v>
      </c>
      <c r="D13" s="371">
        <v>233000</v>
      </c>
      <c r="F13" s="174" t="str">
        <f t="shared" si="0"/>
        <v>Alvin Atkinson has made politcal contributions in the amount of $233,000</v>
      </c>
    </row>
    <row r="14" spans="1:7" x14ac:dyDescent="0.3">
      <c r="B14" s="265" t="s">
        <v>1715</v>
      </c>
      <c r="C14" s="265" t="s">
        <v>1714</v>
      </c>
      <c r="D14" s="371">
        <v>145600</v>
      </c>
      <c r="F14" s="174" t="str">
        <f t="shared" si="0"/>
        <v>Danette Austin has made politcal contributions in the amount of $145,600</v>
      </c>
    </row>
    <row r="15" spans="1:7" x14ac:dyDescent="0.3">
      <c r="B15" s="265" t="s">
        <v>1718</v>
      </c>
      <c r="C15" s="265" t="s">
        <v>1716</v>
      </c>
      <c r="D15" s="371">
        <v>189700</v>
      </c>
      <c r="F15" s="174" t="str">
        <f t="shared" si="0"/>
        <v>Yvonne Williams has made politcal contributions in the amount of $189,700</v>
      </c>
    </row>
    <row r="16" spans="1:7" x14ac:dyDescent="0.3">
      <c r="B16" s="265" t="s">
        <v>1717</v>
      </c>
      <c r="C16" s="265" t="s">
        <v>1719</v>
      </c>
      <c r="D16" s="371">
        <v>67000</v>
      </c>
      <c r="F16" s="174" t="str">
        <f t="shared" si="0"/>
        <v>Susan Baker has made politcal contributions in the amount of $67,000</v>
      </c>
    </row>
    <row r="17" spans="2:6" x14ac:dyDescent="0.3">
      <c r="B17" s="265" t="s">
        <v>1721</v>
      </c>
      <c r="C17" s="266" t="s">
        <v>1720</v>
      </c>
      <c r="D17" s="371">
        <v>125300</v>
      </c>
      <c r="F17" s="174" t="str">
        <f t="shared" si="0"/>
        <v>John Bakley has made politcal contributions in the amount of $125,300</v>
      </c>
    </row>
    <row r="18" spans="2:6" x14ac:dyDescent="0.3">
      <c r="B18" s="265" t="s">
        <v>1723</v>
      </c>
      <c r="C18" s="265" t="s">
        <v>1722</v>
      </c>
      <c r="D18" s="371">
        <v>67400</v>
      </c>
      <c r="F18" s="174" t="str">
        <f t="shared" si="0"/>
        <v>Teresa Baldwin has made politcal contributions in the amount of $67,400</v>
      </c>
    </row>
    <row r="19" spans="2:6" x14ac:dyDescent="0.3">
      <c r="B19" s="265" t="s">
        <v>1725</v>
      </c>
      <c r="C19" s="265" t="s">
        <v>1724</v>
      </c>
      <c r="D19" s="371">
        <v>128500</v>
      </c>
      <c r="F19" s="174" t="str">
        <f t="shared" si="0"/>
        <v>Richard Banks has made politcal contributions in the amount of $128,500</v>
      </c>
    </row>
    <row r="20" spans="2:6" x14ac:dyDescent="0.3">
      <c r="B20" s="265" t="s">
        <v>1725</v>
      </c>
      <c r="C20" s="265" t="s">
        <v>1726</v>
      </c>
      <c r="D20" s="371">
        <v>260000</v>
      </c>
      <c r="F20" s="174" t="str">
        <f t="shared" si="0"/>
        <v>Charles Banks has made politcal contributions in the amount of $260,000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2"/>
  <sheetViews>
    <sheetView showGridLines="0" zoomScale="70" zoomScaleNormal="70" workbookViewId="0">
      <selection activeCell="D32" sqref="D32"/>
    </sheetView>
  </sheetViews>
  <sheetFormatPr defaultColWidth="9.109375" defaultRowHeight="14.4" x14ac:dyDescent="0.3"/>
  <cols>
    <col min="1" max="16384" width="9.109375" style="3"/>
  </cols>
  <sheetData>
    <row r="1" spans="1:18" ht="26.4" x14ac:dyDescent="0.55000000000000004">
      <c r="A1" s="628" t="s">
        <v>330</v>
      </c>
      <c r="B1" s="2" t="s">
        <v>346</v>
      </c>
      <c r="E1" s="633" t="s">
        <v>3016</v>
      </c>
      <c r="R1" s="631" t="s">
        <v>3016</v>
      </c>
    </row>
    <row r="3" spans="1:18" x14ac:dyDescent="0.3">
      <c r="A3" s="3" t="s">
        <v>331</v>
      </c>
    </row>
    <row r="4" spans="1:18" x14ac:dyDescent="0.3">
      <c r="A4" s="3" t="s">
        <v>332</v>
      </c>
    </row>
    <row r="5" spans="1:18" x14ac:dyDescent="0.3">
      <c r="A5" s="3" t="s">
        <v>333</v>
      </c>
    </row>
    <row r="6" spans="1:18" x14ac:dyDescent="0.3">
      <c r="A6" s="3" t="s">
        <v>334</v>
      </c>
    </row>
    <row r="7" spans="1:18" x14ac:dyDescent="0.3">
      <c r="A7" s="3" t="s">
        <v>341</v>
      </c>
    </row>
    <row r="8" spans="1:18" x14ac:dyDescent="0.3">
      <c r="A8" s="3" t="s">
        <v>335</v>
      </c>
    </row>
    <row r="10" spans="1:18" x14ac:dyDescent="0.3">
      <c r="A10" s="3" t="s">
        <v>336</v>
      </c>
    </row>
    <row r="11" spans="1:18" x14ac:dyDescent="0.3">
      <c r="A11" s="3" t="s">
        <v>337</v>
      </c>
    </row>
    <row r="12" spans="1:18" x14ac:dyDescent="0.3">
      <c r="A12" s="3" t="s">
        <v>338</v>
      </c>
    </row>
    <row r="13" spans="1:18" x14ac:dyDescent="0.3">
      <c r="A13" s="3" t="s">
        <v>342</v>
      </c>
    </row>
    <row r="15" spans="1:18" x14ac:dyDescent="0.3">
      <c r="A15" s="3" t="s">
        <v>339</v>
      </c>
    </row>
    <row r="16" spans="1:18" x14ac:dyDescent="0.3">
      <c r="A16" s="3" t="s">
        <v>340</v>
      </c>
    </row>
    <row r="20" spans="11:11" x14ac:dyDescent="0.3">
      <c r="K20" s="3" t="s">
        <v>343</v>
      </c>
    </row>
    <row r="21" spans="11:11" x14ac:dyDescent="0.3">
      <c r="K21" s="3" t="s">
        <v>344</v>
      </c>
    </row>
    <row r="22" spans="11:11" x14ac:dyDescent="0.3">
      <c r="K22" s="3" t="s">
        <v>345</v>
      </c>
    </row>
  </sheetData>
  <phoneticPr fontId="0" type="noConversion"/>
  <printOptions horizontalCentered="1"/>
  <pageMargins left="0.5" right="0.5" top="0.75" bottom="0.75" header="0.3" footer="0.3"/>
  <pageSetup scale="87" orientation="landscape" r:id="rId1"/>
  <headerFooter>
    <oddFooter>&amp;LBoni Mays
Fayetteville Technical Community College&amp;C&amp;P&amp;Rwww.maysstuff.com</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topLeftCell="A4" workbookViewId="0">
      <selection activeCell="C8" sqref="C8"/>
    </sheetView>
  </sheetViews>
  <sheetFormatPr defaultColWidth="9.109375" defaultRowHeight="15.6" x14ac:dyDescent="0.3"/>
  <cols>
    <col min="1" max="2" width="9.109375" style="142"/>
    <col min="3" max="3" width="99.109375" style="142" customWidth="1"/>
    <col min="4" max="16384" width="9.109375" style="142"/>
  </cols>
  <sheetData>
    <row r="1" spans="1:5" ht="23.4" x14ac:dyDescent="0.45">
      <c r="A1" s="33" t="s">
        <v>1728</v>
      </c>
      <c r="E1" s="634" t="s">
        <v>3016</v>
      </c>
    </row>
    <row r="4" spans="1:5" ht="23.4" x14ac:dyDescent="0.45">
      <c r="C4" s="369" t="str">
        <f>CHAR(17)&amp;"Sales Order No. 57766"&amp;CHAR(12)&amp;", Customer: Sammy Hubble"&amp;CHAR(12)&amp;", Amount: $233.34"&amp;CHAR(8)</f>
        <v>_x0011_Sales Order No. 57766_x000C_, Customer: Sammy Hubble_x000C_, Amount: $233.34_x0008_</v>
      </c>
      <c r="D4" s="369"/>
    </row>
    <row r="8" spans="1:5" ht="23.4" x14ac:dyDescent="0.45">
      <c r="C8" s="370" t="str">
        <f>CLEAN(C4)</f>
        <v>Sales Order No. 57766, Customer: Sammy Hubble, Amount: $233.34</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showGridLines="0" workbookViewId="0">
      <selection activeCell="D5" sqref="D5"/>
    </sheetView>
  </sheetViews>
  <sheetFormatPr defaultColWidth="9.109375" defaultRowHeight="15.6" x14ac:dyDescent="0.3"/>
  <cols>
    <col min="1" max="1" width="9.109375" style="142"/>
    <col min="2" max="2" width="33.5546875" style="142" customWidth="1"/>
    <col min="3" max="3" width="9.109375" style="142"/>
    <col min="4" max="4" width="24.6640625" style="142" bestFit="1" customWidth="1"/>
    <col min="5" max="16384" width="9.109375" style="142"/>
  </cols>
  <sheetData>
    <row r="1" spans="1:6" ht="23.4" x14ac:dyDescent="0.45">
      <c r="A1" s="33" t="s">
        <v>1753</v>
      </c>
      <c r="F1" s="634" t="s">
        <v>3016</v>
      </c>
    </row>
    <row r="5" spans="1:6" ht="23.4" x14ac:dyDescent="0.45">
      <c r="B5" s="33" t="s">
        <v>1754</v>
      </c>
      <c r="C5" s="33"/>
      <c r="D5" s="368">
        <f ca="1">NOW()</f>
        <v>41386.499875000001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showGridLines="0" workbookViewId="0">
      <selection activeCell="D32" sqref="D32"/>
    </sheetView>
  </sheetViews>
  <sheetFormatPr defaultColWidth="9.109375" defaultRowHeight="15.6" x14ac:dyDescent="0.3"/>
  <cols>
    <col min="1" max="1" width="9.109375" style="142"/>
    <col min="2" max="2" width="33.5546875" style="142" customWidth="1"/>
    <col min="3" max="3" width="9.109375" style="142"/>
    <col min="4" max="4" width="24.6640625" style="142" bestFit="1" customWidth="1"/>
    <col min="5" max="5" width="9.109375" style="142"/>
    <col min="6" max="6" width="31.44140625" style="142" customWidth="1"/>
    <col min="7" max="16384" width="9.109375" style="142"/>
  </cols>
  <sheetData>
    <row r="1" spans="1:6" ht="23.4" x14ac:dyDescent="0.45">
      <c r="A1" s="33" t="s">
        <v>1755</v>
      </c>
      <c r="E1" s="634" t="s">
        <v>3016</v>
      </c>
    </row>
    <row r="5" spans="1:6" ht="23.4" x14ac:dyDescent="0.45">
      <c r="B5" s="366" t="s">
        <v>1756</v>
      </c>
      <c r="C5" s="33"/>
      <c r="D5" s="367">
        <f t="shared" ref="D5" ca="1" si="0">TODAY()</f>
        <v>41386</v>
      </c>
    </row>
    <row r="6" spans="1:6" x14ac:dyDescent="0.3">
      <c r="D6" s="252"/>
    </row>
    <row r="7" spans="1:6" ht="16.2" thickBot="1" x14ac:dyDescent="0.35">
      <c r="D7" s="252"/>
      <c r="F7" s="278" t="s">
        <v>1043</v>
      </c>
    </row>
    <row r="8" spans="1:6" x14ac:dyDescent="0.3">
      <c r="F8" s="142" t="s">
        <v>1757</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showGridLines="0" workbookViewId="0">
      <selection activeCell="K20" sqref="K20"/>
    </sheetView>
  </sheetViews>
  <sheetFormatPr defaultColWidth="9.109375" defaultRowHeight="15.6" x14ac:dyDescent="0.3"/>
  <cols>
    <col min="1" max="4" width="9.109375" style="142"/>
    <col min="5" max="5" width="32.6640625" style="142" customWidth="1"/>
    <col min="6" max="16384" width="9.109375" style="142"/>
  </cols>
  <sheetData>
    <row r="1" spans="1:7" ht="30" x14ac:dyDescent="0.5">
      <c r="A1" s="113" t="s">
        <v>1758</v>
      </c>
      <c r="B1" s="114"/>
      <c r="C1" s="3"/>
      <c r="D1" s="3"/>
      <c r="F1" s="3"/>
      <c r="G1" s="633" t="s">
        <v>3016</v>
      </c>
    </row>
    <row r="2" spans="1:7" ht="30" x14ac:dyDescent="0.5">
      <c r="A2" s="113" t="s">
        <v>430</v>
      </c>
      <c r="B2" s="114"/>
      <c r="C2" s="3"/>
      <c r="D2" s="3"/>
      <c r="E2" s="364">
        <f>DATE(E7,E5,E6)</f>
        <v>39619</v>
      </c>
      <c r="F2" s="3"/>
    </row>
    <row r="3" spans="1:7" x14ac:dyDescent="0.3">
      <c r="A3" s="3"/>
      <c r="B3" s="3"/>
      <c r="C3" s="3"/>
      <c r="D3" s="3"/>
      <c r="E3" s="3"/>
      <c r="F3" s="3"/>
    </row>
    <row r="4" spans="1:7" x14ac:dyDescent="0.3">
      <c r="A4" s="3"/>
      <c r="B4" s="3"/>
      <c r="C4" s="3"/>
      <c r="D4" s="3"/>
      <c r="E4" s="3"/>
      <c r="F4" s="3"/>
    </row>
    <row r="5" spans="1:7" ht="24.6" x14ac:dyDescent="0.4">
      <c r="A5" s="3"/>
      <c r="B5" s="3"/>
      <c r="C5" s="3"/>
      <c r="D5" s="3"/>
      <c r="E5" s="365">
        <v>6</v>
      </c>
      <c r="F5" s="3"/>
    </row>
    <row r="6" spans="1:7" ht="24.6" x14ac:dyDescent="0.4">
      <c r="A6" s="3"/>
      <c r="B6" s="3"/>
      <c r="C6" s="3"/>
      <c r="D6" s="3"/>
      <c r="E6" s="365">
        <v>20</v>
      </c>
      <c r="F6" s="3"/>
    </row>
    <row r="7" spans="1:7" ht="24.6" x14ac:dyDescent="0.4">
      <c r="A7" s="3"/>
      <c r="B7" s="3"/>
      <c r="C7" s="3"/>
      <c r="D7" s="3"/>
      <c r="E7" s="365">
        <v>2008</v>
      </c>
      <c r="F7" s="3"/>
    </row>
    <row r="8" spans="1:7" x14ac:dyDescent="0.3">
      <c r="A8" s="3"/>
      <c r="B8" s="3"/>
      <c r="C8" s="3"/>
      <c r="D8" s="3"/>
      <c r="E8" s="3"/>
      <c r="F8" s="3"/>
    </row>
    <row r="9" spans="1:7" x14ac:dyDescent="0.3">
      <c r="A9" s="3"/>
      <c r="B9" s="3"/>
      <c r="C9" s="3"/>
      <c r="D9" s="3"/>
      <c r="E9" s="3"/>
      <c r="F9" s="3"/>
    </row>
    <row r="10" spans="1:7" x14ac:dyDescent="0.3">
      <c r="A10" s="3"/>
      <c r="B10" s="3"/>
      <c r="C10" s="3"/>
      <c r="D10" s="3"/>
      <c r="E10" s="3"/>
      <c r="F10" s="3"/>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showGridLines="0" workbookViewId="0">
      <selection activeCell="F5" sqref="F5"/>
    </sheetView>
  </sheetViews>
  <sheetFormatPr defaultColWidth="9.109375" defaultRowHeight="15.6" x14ac:dyDescent="0.3"/>
  <cols>
    <col min="1" max="4" width="9.109375" style="142"/>
    <col min="5" max="6" width="19.88671875" style="142" customWidth="1"/>
    <col min="7" max="16384" width="9.109375" style="142"/>
  </cols>
  <sheetData>
    <row r="1" spans="1:10" ht="30" x14ac:dyDescent="0.5">
      <c r="A1" s="113" t="s">
        <v>1758</v>
      </c>
      <c r="B1" s="114"/>
      <c r="C1" s="3"/>
      <c r="D1" s="3"/>
      <c r="F1" s="3"/>
      <c r="G1" s="3"/>
      <c r="H1" s="3"/>
      <c r="J1" s="633" t="s">
        <v>3016</v>
      </c>
    </row>
    <row r="2" spans="1:10" ht="30" x14ac:dyDescent="0.5">
      <c r="A2" s="115" t="s">
        <v>72</v>
      </c>
      <c r="B2" s="114"/>
      <c r="C2" s="3"/>
      <c r="D2" s="3"/>
      <c r="E2" s="3"/>
      <c r="F2" s="3"/>
      <c r="G2" s="3"/>
      <c r="H2" s="3"/>
    </row>
    <row r="3" spans="1:10" x14ac:dyDescent="0.3">
      <c r="A3" s="3"/>
      <c r="B3" s="3"/>
      <c r="C3" s="3"/>
      <c r="D3" s="3"/>
      <c r="E3" s="3"/>
      <c r="F3" s="3"/>
      <c r="G3" s="3"/>
      <c r="H3" s="3"/>
    </row>
    <row r="4" spans="1:10" x14ac:dyDescent="0.3">
      <c r="A4" s="3"/>
      <c r="B4" s="3"/>
      <c r="C4" s="3"/>
      <c r="D4" s="3"/>
      <c r="E4" s="3"/>
      <c r="F4" s="3"/>
      <c r="G4" s="3"/>
      <c r="H4" s="3"/>
    </row>
    <row r="5" spans="1:10" ht="24.6" x14ac:dyDescent="0.4">
      <c r="A5" s="3"/>
      <c r="B5" s="3"/>
      <c r="C5" s="3"/>
      <c r="D5" s="3"/>
      <c r="E5" s="118" t="s">
        <v>1759</v>
      </c>
      <c r="F5" s="117">
        <f>MONTH(E5)</f>
        <v>1</v>
      </c>
      <c r="G5" s="3"/>
      <c r="H5" s="3"/>
    </row>
    <row r="6" spans="1:10" x14ac:dyDescent="0.3">
      <c r="A6" s="3"/>
      <c r="B6" s="3"/>
      <c r="C6" s="3"/>
      <c r="D6" s="3"/>
      <c r="E6" s="3"/>
      <c r="F6" s="3"/>
      <c r="G6" s="3"/>
      <c r="H6" s="3"/>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election activeCell="F7" sqref="F7"/>
    </sheetView>
  </sheetViews>
  <sheetFormatPr defaultColWidth="9.109375" defaultRowHeight="15.6" x14ac:dyDescent="0.3"/>
  <cols>
    <col min="1" max="4" width="9.109375" style="142"/>
    <col min="5" max="5" width="16.109375" style="142" customWidth="1"/>
    <col min="6" max="6" width="23" style="142" customWidth="1"/>
    <col min="7" max="7" width="32.33203125" style="142" customWidth="1"/>
    <col min="8" max="16384" width="9.109375" style="142"/>
  </cols>
  <sheetData>
    <row r="1" spans="1:7" ht="30" x14ac:dyDescent="0.5">
      <c r="A1" s="113" t="s">
        <v>1758</v>
      </c>
      <c r="B1" s="114"/>
      <c r="C1" s="3"/>
      <c r="D1" s="3"/>
      <c r="F1" s="3"/>
      <c r="G1" s="633" t="s">
        <v>3016</v>
      </c>
    </row>
    <row r="2" spans="1:7" ht="30" x14ac:dyDescent="0.5">
      <c r="A2" s="113" t="s">
        <v>67</v>
      </c>
      <c r="B2" s="114"/>
      <c r="C2" s="3"/>
      <c r="D2" s="3"/>
      <c r="E2" s="3"/>
      <c r="F2" s="3"/>
      <c r="G2" s="3"/>
    </row>
    <row r="3" spans="1:7" ht="24.6" x14ac:dyDescent="0.4">
      <c r="A3" s="3"/>
      <c r="B3" s="3"/>
      <c r="C3" s="3"/>
      <c r="D3" s="3"/>
      <c r="E3" s="118" t="s">
        <v>1759</v>
      </c>
      <c r="F3" s="114">
        <f>DATEVALUE(E3)</f>
        <v>39449</v>
      </c>
      <c r="G3" s="3"/>
    </row>
    <row r="4" spans="1:7" x14ac:dyDescent="0.3">
      <c r="A4" s="3"/>
      <c r="B4" s="3"/>
      <c r="C4" s="3"/>
      <c r="D4" s="3"/>
      <c r="E4" s="3"/>
      <c r="F4" s="3"/>
      <c r="G4" s="3"/>
    </row>
    <row r="5" spans="1:7" x14ac:dyDescent="0.3">
      <c r="A5" s="3"/>
      <c r="B5" s="3"/>
      <c r="C5" s="3"/>
      <c r="D5" s="3"/>
      <c r="E5" s="3"/>
      <c r="F5" s="3"/>
      <c r="G5" s="3"/>
    </row>
    <row r="6" spans="1:7" x14ac:dyDescent="0.3">
      <c r="A6" s="3"/>
      <c r="B6" s="3"/>
      <c r="C6" s="3"/>
      <c r="D6" s="3"/>
      <c r="E6" s="3"/>
      <c r="F6" s="3"/>
      <c r="G6" s="3"/>
    </row>
    <row r="7" spans="1:7" ht="24.6" x14ac:dyDescent="0.4">
      <c r="A7" s="3"/>
      <c r="B7" s="3"/>
      <c r="C7" s="3"/>
      <c r="D7" s="3"/>
      <c r="E7" s="3"/>
      <c r="F7" s="117">
        <f>DAY(F3)</f>
        <v>2</v>
      </c>
      <c r="G7" s="3"/>
    </row>
    <row r="8" spans="1:7" x14ac:dyDescent="0.3">
      <c r="A8" s="3"/>
      <c r="B8" s="3"/>
      <c r="C8" s="3"/>
      <c r="D8" s="3"/>
      <c r="E8" s="3"/>
      <c r="F8" s="3"/>
      <c r="G8" s="3"/>
    </row>
    <row r="9" spans="1:7" x14ac:dyDescent="0.3">
      <c r="A9" s="3"/>
      <c r="B9" s="3"/>
      <c r="C9" s="3"/>
      <c r="D9" s="3"/>
      <c r="E9" s="3"/>
      <c r="F9" s="3"/>
      <c r="G9" s="3"/>
    </row>
    <row r="10" spans="1:7" x14ac:dyDescent="0.3">
      <c r="A10" s="3"/>
      <c r="B10" s="3"/>
      <c r="C10" s="3"/>
      <c r="D10" s="3"/>
      <c r="E10" s="3"/>
      <c r="F10" s="3"/>
      <c r="G10" s="3"/>
    </row>
    <row r="11" spans="1:7" x14ac:dyDescent="0.3">
      <c r="A11" s="3"/>
      <c r="B11" s="3"/>
      <c r="C11" s="3"/>
      <c r="D11" s="3"/>
      <c r="E11" s="3"/>
      <c r="F11" s="3"/>
      <c r="G11" s="3"/>
    </row>
    <row r="12" spans="1:7" x14ac:dyDescent="0.3">
      <c r="A12" s="3"/>
      <c r="B12" s="3"/>
      <c r="C12" s="3"/>
      <c r="D12" s="3"/>
      <c r="E12" s="3"/>
      <c r="F12" s="3"/>
      <c r="G12" s="3"/>
    </row>
    <row r="13" spans="1:7" ht="24.6" x14ac:dyDescent="0.4">
      <c r="A13" s="3"/>
      <c r="B13" s="114"/>
      <c r="C13" s="3"/>
      <c r="D13" s="3"/>
      <c r="E13" s="3"/>
      <c r="F13" s="3"/>
      <c r="G13" s="3"/>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showGridLines="0" workbookViewId="0">
      <selection activeCell="F6" sqref="F6"/>
    </sheetView>
  </sheetViews>
  <sheetFormatPr defaultColWidth="9.109375" defaultRowHeight="15.6" x14ac:dyDescent="0.3"/>
  <cols>
    <col min="1" max="3" width="9.109375" style="142"/>
    <col min="4" max="4" width="15" style="142" customWidth="1"/>
    <col min="5" max="5" width="10" style="142" customWidth="1"/>
    <col min="6" max="6" width="29.6640625" style="142" customWidth="1"/>
    <col min="7" max="16384" width="9.109375" style="142"/>
  </cols>
  <sheetData>
    <row r="1" spans="1:8" ht="30" x14ac:dyDescent="0.5">
      <c r="A1" s="113" t="s">
        <v>1758</v>
      </c>
      <c r="B1" s="114"/>
      <c r="C1" s="3"/>
      <c r="D1" s="3"/>
      <c r="F1" s="3"/>
      <c r="G1" s="3"/>
      <c r="H1" s="633" t="s">
        <v>3016</v>
      </c>
    </row>
    <row r="2" spans="1:8" ht="30" x14ac:dyDescent="0.5">
      <c r="A2" s="113" t="s">
        <v>76</v>
      </c>
      <c r="B2" s="114"/>
      <c r="C2" s="3"/>
      <c r="D2" s="3"/>
      <c r="E2" s="3"/>
      <c r="F2" s="3"/>
      <c r="G2" s="3"/>
    </row>
    <row r="3" spans="1:8" ht="24.6" x14ac:dyDescent="0.4">
      <c r="A3" s="3"/>
      <c r="B3" s="3"/>
      <c r="C3" s="3"/>
      <c r="D3" s="3"/>
      <c r="E3" s="3"/>
      <c r="F3" s="116">
        <v>39510</v>
      </c>
      <c r="G3" s="3"/>
    </row>
    <row r="4" spans="1:8" x14ac:dyDescent="0.3">
      <c r="A4" s="3"/>
      <c r="B4" s="3"/>
      <c r="C4" s="3"/>
      <c r="D4" s="3"/>
      <c r="E4" s="3"/>
      <c r="F4" s="3"/>
      <c r="G4" s="3"/>
    </row>
    <row r="5" spans="1:8" x14ac:dyDescent="0.3">
      <c r="A5" s="3"/>
      <c r="B5" s="3"/>
      <c r="C5" s="3"/>
      <c r="D5" s="3"/>
      <c r="E5" s="3"/>
      <c r="F5" s="3"/>
      <c r="G5" s="3"/>
    </row>
    <row r="6" spans="1:8" ht="24.6" x14ac:dyDescent="0.4">
      <c r="A6" s="3"/>
      <c r="B6" s="3"/>
      <c r="C6" s="3"/>
      <c r="D6" s="114" t="s">
        <v>1760</v>
      </c>
      <c r="E6" s="3"/>
      <c r="F6" s="117">
        <f>YEAR(F3)</f>
        <v>2008</v>
      </c>
      <c r="G6" s="3"/>
    </row>
    <row r="7" spans="1:8" x14ac:dyDescent="0.3">
      <c r="A7" s="3"/>
      <c r="B7" s="3"/>
      <c r="C7" s="3"/>
      <c r="D7" s="3"/>
      <c r="E7" s="3"/>
      <c r="F7" s="3"/>
      <c r="G7" s="3"/>
    </row>
    <row r="8" spans="1:8" x14ac:dyDescent="0.3">
      <c r="A8" s="3"/>
      <c r="B8" s="3"/>
      <c r="C8" s="3"/>
      <c r="D8" s="3"/>
      <c r="E8" s="3"/>
      <c r="F8" s="3"/>
      <c r="G8" s="3"/>
    </row>
    <row r="9" spans="1:8" x14ac:dyDescent="0.3">
      <c r="A9" s="3"/>
      <c r="B9" s="3"/>
      <c r="C9" s="3"/>
      <c r="D9" s="3"/>
      <c r="E9" s="3"/>
      <c r="F9" s="3"/>
      <c r="G9" s="3"/>
    </row>
    <row r="10" spans="1:8" x14ac:dyDescent="0.3">
      <c r="A10" s="3"/>
      <c r="B10" s="3"/>
      <c r="C10" s="3"/>
      <c r="D10" s="3"/>
      <c r="E10" s="3"/>
      <c r="F10" s="3"/>
      <c r="G10" s="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showGridLines="0" workbookViewId="0">
      <selection activeCell="F5" sqref="F5"/>
    </sheetView>
  </sheetViews>
  <sheetFormatPr defaultColWidth="9.109375" defaultRowHeight="15.6" x14ac:dyDescent="0.3"/>
  <cols>
    <col min="1" max="5" width="9.109375" style="142"/>
    <col min="6" max="6" width="23" style="142" customWidth="1"/>
    <col min="7" max="16384" width="9.109375" style="142"/>
  </cols>
  <sheetData>
    <row r="1" spans="1:8" ht="30" x14ac:dyDescent="0.5">
      <c r="A1" s="113" t="s">
        <v>1758</v>
      </c>
      <c r="B1" s="114"/>
      <c r="C1" s="3"/>
      <c r="D1" s="3"/>
      <c r="F1" s="3"/>
      <c r="G1" s="3"/>
      <c r="H1" s="633" t="s">
        <v>3016</v>
      </c>
    </row>
    <row r="2" spans="1:8" ht="30" x14ac:dyDescent="0.5">
      <c r="A2" s="113" t="s">
        <v>442</v>
      </c>
      <c r="B2" s="114"/>
      <c r="C2" s="3"/>
      <c r="D2" s="3"/>
      <c r="E2" s="3"/>
      <c r="F2" s="3"/>
      <c r="G2" s="3"/>
    </row>
    <row r="3" spans="1:8" x14ac:dyDescent="0.3">
      <c r="A3" s="3"/>
      <c r="B3" s="3"/>
      <c r="C3" s="3"/>
      <c r="D3" s="3"/>
      <c r="E3" s="3"/>
      <c r="F3" s="3"/>
      <c r="G3" s="3"/>
    </row>
    <row r="4" spans="1:8" ht="24.6" x14ac:dyDescent="0.4">
      <c r="A4" s="3"/>
      <c r="B4" s="3"/>
      <c r="C4" s="3"/>
      <c r="D4" s="3"/>
      <c r="E4" s="3"/>
      <c r="F4" s="116">
        <v>39510</v>
      </c>
      <c r="G4" s="3"/>
    </row>
    <row r="5" spans="1:8" ht="24.6" x14ac:dyDescent="0.4">
      <c r="A5" s="3"/>
      <c r="B5" s="3"/>
      <c r="C5" s="3"/>
      <c r="D5" s="3"/>
      <c r="E5" s="3"/>
      <c r="F5" s="117">
        <f>WEEKDAY(F4)</f>
        <v>2</v>
      </c>
      <c r="G5" s="3"/>
    </row>
    <row r="6" spans="1:8" x14ac:dyDescent="0.3">
      <c r="A6" s="3"/>
      <c r="B6" s="3"/>
      <c r="C6" s="3"/>
      <c r="D6" s="3"/>
      <c r="E6" s="3"/>
      <c r="F6" s="3"/>
      <c r="G6" s="3"/>
    </row>
    <row r="7" spans="1:8" x14ac:dyDescent="0.3">
      <c r="A7" s="3"/>
      <c r="B7" s="3"/>
      <c r="C7" s="3"/>
      <c r="D7" s="3"/>
      <c r="E7" s="3"/>
      <c r="F7" s="3"/>
      <c r="G7" s="3"/>
    </row>
    <row r="8" spans="1:8" x14ac:dyDescent="0.3">
      <c r="A8" s="3"/>
      <c r="B8" s="3"/>
      <c r="C8" s="3"/>
      <c r="D8" s="3"/>
      <c r="E8" s="3"/>
      <c r="F8" s="3"/>
      <c r="G8" s="3"/>
    </row>
    <row r="9" spans="1:8" x14ac:dyDescent="0.3">
      <c r="A9" s="3"/>
      <c r="B9" s="3"/>
      <c r="C9" s="3"/>
      <c r="D9" s="3"/>
      <c r="E9" s="3"/>
      <c r="F9" s="3"/>
      <c r="G9" s="3"/>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9"/>
  <sheetViews>
    <sheetView showGridLines="0" zoomScale="80" zoomScaleNormal="80" workbookViewId="0">
      <selection activeCell="I13" sqref="I13"/>
    </sheetView>
  </sheetViews>
  <sheetFormatPr defaultColWidth="9.109375" defaultRowHeight="24.6" x14ac:dyDescent="0.4"/>
  <cols>
    <col min="1" max="1" width="3.44140625" style="3" customWidth="1"/>
    <col min="2" max="2" width="3.33203125" style="114" customWidth="1"/>
    <col min="3" max="4" width="3.33203125" style="3" customWidth="1"/>
    <col min="5" max="5" width="8.44140625" style="3" customWidth="1"/>
    <col min="6" max="6" width="37.6640625" style="3" customWidth="1"/>
    <col min="7" max="9" width="16.44140625" style="3" customWidth="1"/>
    <col min="10" max="10" width="15.6640625" style="3" customWidth="1"/>
    <col min="11" max="11" width="15.88671875" style="3" customWidth="1"/>
    <col min="12" max="12" width="15.88671875" style="322" customWidth="1"/>
    <col min="13" max="26" width="10.33203125" style="3" customWidth="1"/>
    <col min="27" max="29" width="10" style="3" customWidth="1"/>
    <col min="30" max="16384" width="9.109375" style="3"/>
  </cols>
  <sheetData>
    <row r="1" spans="1:14" ht="25.8" x14ac:dyDescent="0.5">
      <c r="A1" s="286" t="s">
        <v>1761</v>
      </c>
      <c r="I1" s="114"/>
      <c r="N1" s="633" t="s">
        <v>3016</v>
      </c>
    </row>
    <row r="2" spans="1:14" s="323" customFormat="1" ht="15.6" x14ac:dyDescent="0.3">
      <c r="B2" s="324"/>
      <c r="L2" s="325"/>
    </row>
    <row r="3" spans="1:14" ht="20.25" customHeight="1" x14ac:dyDescent="0.4">
      <c r="B3" s="725" t="s">
        <v>1762</v>
      </c>
      <c r="C3" s="725"/>
      <c r="D3" s="725"/>
      <c r="E3" s="725"/>
      <c r="F3" s="725"/>
      <c r="G3" s="725"/>
      <c r="H3" s="725"/>
      <c r="I3" s="725"/>
      <c r="J3" s="725"/>
      <c r="K3" s="725"/>
      <c r="L3" s="725"/>
    </row>
    <row r="4" spans="1:14" s="188" customFormat="1" ht="20.25" customHeight="1" x14ac:dyDescent="0.4">
      <c r="B4" s="726" t="s">
        <v>1763</v>
      </c>
      <c r="C4" s="726"/>
      <c r="D4" s="726"/>
      <c r="E4" s="726"/>
      <c r="F4" s="726"/>
      <c r="G4" s="726"/>
      <c r="H4" s="726"/>
      <c r="I4" s="726"/>
      <c r="J4" s="726"/>
      <c r="K4" s="726"/>
      <c r="L4" s="726"/>
    </row>
    <row r="5" spans="1:14" s="188" customFormat="1" ht="15.6" x14ac:dyDescent="0.3">
      <c r="A5" s="326"/>
      <c r="B5" s="327"/>
      <c r="C5" s="327"/>
      <c r="D5" s="327"/>
      <c r="E5" s="327"/>
      <c r="F5" s="326"/>
      <c r="G5" s="328"/>
      <c r="H5" s="328"/>
      <c r="I5" s="328"/>
      <c r="J5" s="328"/>
      <c r="L5" s="329"/>
    </row>
    <row r="6" spans="1:14" s="188" customFormat="1" ht="31.2" x14ac:dyDescent="0.3">
      <c r="A6" s="330" t="s">
        <v>723</v>
      </c>
      <c r="B6" s="331"/>
      <c r="C6" s="331"/>
      <c r="D6" s="331"/>
      <c r="E6" s="331"/>
      <c r="F6" s="330"/>
      <c r="G6" s="332">
        <v>2011</v>
      </c>
      <c r="H6" s="332">
        <v>2012</v>
      </c>
      <c r="I6" s="332">
        <v>2013</v>
      </c>
      <c r="J6" s="332">
        <v>2014</v>
      </c>
      <c r="K6" s="333" t="s">
        <v>3028</v>
      </c>
      <c r="L6" s="333" t="s">
        <v>3028</v>
      </c>
    </row>
    <row r="7" spans="1:14" s="188" customFormat="1" ht="15.6" x14ac:dyDescent="0.3">
      <c r="A7" s="334"/>
      <c r="B7" s="335" t="s">
        <v>644</v>
      </c>
      <c r="C7" s="335"/>
      <c r="D7" s="335"/>
      <c r="E7" s="335"/>
      <c r="F7" s="334"/>
      <c r="G7" s="336"/>
      <c r="H7" s="336"/>
      <c r="I7" s="336"/>
      <c r="J7" s="336"/>
      <c r="L7" s="329"/>
    </row>
    <row r="8" spans="1:14" s="188" customFormat="1" ht="15.6" x14ac:dyDescent="0.3">
      <c r="A8" s="337"/>
      <c r="B8" s="338"/>
      <c r="C8" s="338"/>
      <c r="D8" s="338" t="s">
        <v>645</v>
      </c>
      <c r="E8" s="338"/>
      <c r="F8" s="337"/>
      <c r="G8" s="336"/>
      <c r="H8" s="336"/>
      <c r="I8" s="336"/>
      <c r="J8" s="336"/>
      <c r="L8" s="329"/>
    </row>
    <row r="9" spans="1:14" ht="15.6" x14ac:dyDescent="0.3">
      <c r="A9" s="339"/>
      <c r="B9" s="340"/>
      <c r="C9" s="340"/>
      <c r="D9" s="340"/>
      <c r="E9" s="340"/>
      <c r="F9" s="339" t="s">
        <v>646</v>
      </c>
      <c r="G9" s="341">
        <v>70422.05</v>
      </c>
      <c r="H9" s="341">
        <v>94671.26</v>
      </c>
      <c r="I9" s="341">
        <v>106124.86</v>
      </c>
      <c r="J9" s="341">
        <v>138510.9</v>
      </c>
      <c r="K9" s="341">
        <v>156362.30499999999</v>
      </c>
      <c r="L9" s="342">
        <f>ROUND(K9,-2)</f>
        <v>156400</v>
      </c>
    </row>
    <row r="10" spans="1:14" ht="15.6" x14ac:dyDescent="0.3">
      <c r="A10" s="339"/>
      <c r="B10" s="340"/>
      <c r="C10" s="340"/>
      <c r="D10" s="340"/>
      <c r="E10" s="340"/>
      <c r="F10" s="339" t="s">
        <v>647</v>
      </c>
      <c r="G10" s="336">
        <v>-448.89</v>
      </c>
      <c r="H10" s="336">
        <v>-676.61</v>
      </c>
      <c r="I10" s="336">
        <v>0</v>
      </c>
      <c r="J10" s="336">
        <v>-213.1</v>
      </c>
      <c r="K10" s="336">
        <v>11.345000000000001</v>
      </c>
      <c r="L10" s="343">
        <f t="shared" ref="L10:L73" si="0">ROUND(K10,-2)</f>
        <v>0</v>
      </c>
    </row>
    <row r="11" spans="1:14" ht="16.8" x14ac:dyDescent="0.4">
      <c r="A11" s="339"/>
      <c r="B11" s="340"/>
      <c r="C11" s="340"/>
      <c r="D11" s="340"/>
      <c r="E11" s="340"/>
      <c r="F11" s="339" t="s">
        <v>648</v>
      </c>
      <c r="G11" s="344">
        <v>0</v>
      </c>
      <c r="H11" s="344">
        <v>0</v>
      </c>
      <c r="I11" s="344">
        <v>-5.4</v>
      </c>
      <c r="J11" s="344">
        <v>0</v>
      </c>
      <c r="K11" s="344">
        <v>-2.7</v>
      </c>
      <c r="L11" s="345">
        <f t="shared" si="0"/>
        <v>0</v>
      </c>
    </row>
    <row r="12" spans="1:14" ht="16.8" x14ac:dyDescent="0.4">
      <c r="A12" s="339"/>
      <c r="B12" s="340"/>
      <c r="C12" s="340"/>
      <c r="D12" s="346" t="s">
        <v>649</v>
      </c>
      <c r="E12" s="346"/>
      <c r="F12" s="347"/>
      <c r="G12" s="348">
        <f>SUBTOTAL(9, (G8:G11))</f>
        <v>69973.16</v>
      </c>
      <c r="H12" s="348">
        <f>SUBTOTAL(9, (H8:H11))</f>
        <v>93994.65</v>
      </c>
      <c r="I12" s="348">
        <f>SUBTOTAL(9, (I8:I11))</f>
        <v>106119.46</v>
      </c>
      <c r="J12" s="348">
        <f>SUBTOTAL(9, (J8:J11))</f>
        <v>138297.79999999999</v>
      </c>
      <c r="K12" s="348">
        <f>SUBTOTAL(9, (K8:K11))</f>
        <v>156370.94999999998</v>
      </c>
      <c r="L12" s="349">
        <f t="shared" si="0"/>
        <v>156400</v>
      </c>
    </row>
    <row r="13" spans="1:14" ht="16.8" x14ac:dyDescent="0.4">
      <c r="A13" s="339"/>
      <c r="B13" s="340"/>
      <c r="C13" s="340"/>
      <c r="D13" s="346"/>
      <c r="E13" s="346"/>
      <c r="F13" s="347"/>
      <c r="G13" s="348"/>
      <c r="H13" s="348"/>
      <c r="I13" s="348"/>
      <c r="J13" s="348"/>
      <c r="K13" s="348"/>
      <c r="L13" s="349"/>
    </row>
    <row r="14" spans="1:14" ht="15.6" x14ac:dyDescent="0.3">
      <c r="A14" s="337"/>
      <c r="B14" s="338"/>
      <c r="C14" s="338"/>
      <c r="D14" s="338" t="s">
        <v>650</v>
      </c>
      <c r="E14" s="338"/>
      <c r="F14" s="337"/>
      <c r="G14" s="336"/>
      <c r="H14" s="336"/>
      <c r="I14" s="336"/>
      <c r="J14" s="336"/>
      <c r="K14" s="336"/>
      <c r="L14" s="343"/>
    </row>
    <row r="15" spans="1:14" ht="15.6" x14ac:dyDescent="0.3">
      <c r="A15" s="339"/>
      <c r="B15" s="340"/>
      <c r="C15" s="340"/>
      <c r="D15" s="340"/>
      <c r="E15" s="340"/>
      <c r="F15" s="339" t="s">
        <v>651</v>
      </c>
      <c r="G15" s="336">
        <v>50658.68</v>
      </c>
      <c r="H15" s="336">
        <v>67468.399999999994</v>
      </c>
      <c r="I15" s="336">
        <v>74382.48</v>
      </c>
      <c r="J15" s="336">
        <v>93780.59</v>
      </c>
      <c r="K15" s="336">
        <v>105642.49</v>
      </c>
      <c r="L15" s="343">
        <f t="shared" si="0"/>
        <v>105600</v>
      </c>
    </row>
    <row r="16" spans="1:14" ht="16.8" x14ac:dyDescent="0.4">
      <c r="A16" s="339"/>
      <c r="B16" s="340"/>
      <c r="C16" s="340"/>
      <c r="D16" s="340"/>
      <c r="E16" s="340"/>
      <c r="F16" s="339" t="s">
        <v>652</v>
      </c>
      <c r="G16" s="344">
        <v>-158.78</v>
      </c>
      <c r="H16" s="344">
        <v>0</v>
      </c>
      <c r="I16" s="344">
        <v>0</v>
      </c>
      <c r="J16" s="344">
        <v>-181.43</v>
      </c>
      <c r="K16" s="344">
        <v>-102.04</v>
      </c>
      <c r="L16" s="345">
        <f t="shared" si="0"/>
        <v>-100</v>
      </c>
    </row>
    <row r="17" spans="1:12" ht="16.8" x14ac:dyDescent="0.4">
      <c r="A17" s="339"/>
      <c r="B17" s="340"/>
      <c r="C17" s="340"/>
      <c r="D17" s="346" t="s">
        <v>653</v>
      </c>
      <c r="E17" s="346"/>
      <c r="F17" s="347"/>
      <c r="G17" s="348">
        <f>SUBTOTAL(9, (G14:G16))</f>
        <v>50499.9</v>
      </c>
      <c r="H17" s="348">
        <f>SUBTOTAL(9, (H14:H16))</f>
        <v>67468.399999999994</v>
      </c>
      <c r="I17" s="348">
        <f>SUBTOTAL(9, (I14:I16))</f>
        <v>74382.48</v>
      </c>
      <c r="J17" s="348">
        <f>SUBTOTAL(9, (J14:J16))</f>
        <v>93599.16</v>
      </c>
      <c r="K17" s="348">
        <f>SUBTOTAL(9, (K14:K16))</f>
        <v>105540.45000000001</v>
      </c>
      <c r="L17" s="349">
        <f t="shared" si="0"/>
        <v>105500</v>
      </c>
    </row>
    <row r="18" spans="1:12" ht="16.8" x14ac:dyDescent="0.4">
      <c r="A18" s="339"/>
      <c r="B18" s="340"/>
      <c r="C18" s="340"/>
      <c r="D18" s="346"/>
      <c r="E18" s="346"/>
      <c r="F18" s="347"/>
      <c r="G18" s="348"/>
      <c r="H18" s="348"/>
      <c r="I18" s="348"/>
      <c r="J18" s="348"/>
      <c r="K18" s="348"/>
      <c r="L18" s="350"/>
    </row>
    <row r="19" spans="1:12" ht="16.8" x14ac:dyDescent="0.4">
      <c r="A19" s="339"/>
      <c r="B19" s="340"/>
      <c r="C19" s="346" t="s">
        <v>654</v>
      </c>
      <c r="D19" s="346"/>
      <c r="E19" s="346"/>
      <c r="F19" s="347"/>
      <c r="G19" s="348">
        <f>G12-G17</f>
        <v>19473.260000000002</v>
      </c>
      <c r="H19" s="348">
        <f>H12-H17</f>
        <v>26526.25</v>
      </c>
      <c r="I19" s="348">
        <f>I12-I17</f>
        <v>31736.98000000001</v>
      </c>
      <c r="J19" s="348">
        <f>J12-J17</f>
        <v>44698.639999999985</v>
      </c>
      <c r="K19" s="348">
        <f>K12-K17</f>
        <v>50830.499999999971</v>
      </c>
      <c r="L19" s="349">
        <f t="shared" si="0"/>
        <v>50800</v>
      </c>
    </row>
    <row r="20" spans="1:12" ht="16.8" x14ac:dyDescent="0.4">
      <c r="A20" s="339"/>
      <c r="B20" s="340"/>
      <c r="C20" s="346"/>
      <c r="D20" s="346"/>
      <c r="E20" s="346"/>
      <c r="F20" s="347"/>
      <c r="G20" s="348"/>
      <c r="H20" s="348"/>
      <c r="I20" s="348"/>
      <c r="J20" s="348"/>
      <c r="K20" s="348"/>
      <c r="L20" s="349"/>
    </row>
    <row r="21" spans="1:12" ht="15.6" x14ac:dyDescent="0.3">
      <c r="A21" s="337"/>
      <c r="B21" s="338"/>
      <c r="C21" s="338"/>
      <c r="D21" s="338" t="s">
        <v>656</v>
      </c>
      <c r="E21" s="338"/>
      <c r="F21" s="337"/>
      <c r="G21" s="336"/>
      <c r="H21" s="336"/>
      <c r="I21" s="336"/>
      <c r="J21" s="336"/>
      <c r="K21" s="336"/>
      <c r="L21" s="342"/>
    </row>
    <row r="22" spans="1:12" ht="15.6" x14ac:dyDescent="0.3">
      <c r="A22" s="337"/>
      <c r="B22" s="338"/>
      <c r="C22" s="338"/>
      <c r="D22" s="338"/>
      <c r="E22" s="338" t="s">
        <v>657</v>
      </c>
      <c r="F22" s="337"/>
      <c r="G22" s="336"/>
      <c r="H22" s="336"/>
      <c r="I22" s="336"/>
      <c r="J22" s="336"/>
      <c r="K22" s="336"/>
      <c r="L22" s="342"/>
    </row>
    <row r="23" spans="1:12" ht="15.6" x14ac:dyDescent="0.3">
      <c r="A23" s="339"/>
      <c r="B23" s="340"/>
      <c r="C23" s="340"/>
      <c r="D23" s="340"/>
      <c r="E23" s="340"/>
      <c r="F23" s="339" t="s">
        <v>659</v>
      </c>
      <c r="G23" s="336">
        <v>760</v>
      </c>
      <c r="H23" s="336">
        <v>600</v>
      </c>
      <c r="I23" s="336">
        <v>0</v>
      </c>
      <c r="J23" s="336">
        <v>600</v>
      </c>
      <c r="K23" s="336">
        <v>220</v>
      </c>
      <c r="L23" s="343">
        <f t="shared" si="0"/>
        <v>200</v>
      </c>
    </row>
    <row r="24" spans="1:12" ht="16.8" x14ac:dyDescent="0.4">
      <c r="A24" s="339"/>
      <c r="B24" s="340"/>
      <c r="C24" s="340"/>
      <c r="D24" s="340"/>
      <c r="E24" s="340"/>
      <c r="F24" s="339" t="s">
        <v>660</v>
      </c>
      <c r="G24" s="351">
        <v>0</v>
      </c>
      <c r="H24" s="351">
        <v>0</v>
      </c>
      <c r="I24" s="351">
        <v>250</v>
      </c>
      <c r="J24" s="351">
        <v>0</v>
      </c>
      <c r="K24" s="351">
        <v>125</v>
      </c>
      <c r="L24" s="352">
        <f t="shared" si="0"/>
        <v>100</v>
      </c>
    </row>
    <row r="25" spans="1:12" ht="16.8" x14ac:dyDescent="0.4">
      <c r="A25" s="339"/>
      <c r="B25" s="340"/>
      <c r="C25" s="340"/>
      <c r="D25" s="340"/>
      <c r="E25" s="346" t="s">
        <v>661</v>
      </c>
      <c r="F25" s="347"/>
      <c r="G25" s="348">
        <f>SUBTOTAL(9, (G22:G24))</f>
        <v>760</v>
      </c>
      <c r="H25" s="348">
        <f>SUBTOTAL(9, (H22:H24))</f>
        <v>600</v>
      </c>
      <c r="I25" s="348">
        <f>SUBTOTAL(9, (I22:I24))</f>
        <v>250</v>
      </c>
      <c r="J25" s="348">
        <f>SUBTOTAL(9, (J22:J24))</f>
        <v>600</v>
      </c>
      <c r="K25" s="348">
        <f>SUBTOTAL(9, (K22:K24))</f>
        <v>345</v>
      </c>
      <c r="L25" s="349">
        <f t="shared" si="0"/>
        <v>300</v>
      </c>
    </row>
    <row r="26" spans="1:12" ht="16.8" x14ac:dyDescent="0.4">
      <c r="A26" s="339"/>
      <c r="B26" s="340"/>
      <c r="C26" s="340"/>
      <c r="D26" s="340"/>
      <c r="E26" s="346"/>
      <c r="F26" s="347"/>
      <c r="G26" s="348"/>
      <c r="H26" s="348"/>
      <c r="I26" s="348"/>
      <c r="J26" s="348"/>
      <c r="K26" s="348"/>
      <c r="L26" s="349"/>
    </row>
    <row r="27" spans="1:12" ht="15.6" x14ac:dyDescent="0.3">
      <c r="A27" s="339"/>
      <c r="B27" s="340"/>
      <c r="C27" s="340"/>
      <c r="D27" s="340"/>
      <c r="E27" s="340"/>
      <c r="F27" s="339" t="s">
        <v>662</v>
      </c>
      <c r="G27" s="336">
        <v>22</v>
      </c>
      <c r="H27" s="336">
        <v>22</v>
      </c>
      <c r="I27" s="336">
        <v>22</v>
      </c>
      <c r="J27" s="336">
        <v>43</v>
      </c>
      <c r="K27" s="336">
        <v>43</v>
      </c>
      <c r="L27" s="343">
        <f t="shared" si="0"/>
        <v>0</v>
      </c>
    </row>
    <row r="28" spans="1:12" ht="15.6" x14ac:dyDescent="0.3">
      <c r="A28" s="339"/>
      <c r="B28" s="340"/>
      <c r="C28" s="340"/>
      <c r="D28" s="340"/>
      <c r="E28" s="340"/>
      <c r="F28" s="339" t="s">
        <v>663</v>
      </c>
      <c r="G28" s="336">
        <v>0</v>
      </c>
      <c r="H28" s="336">
        <v>0</v>
      </c>
      <c r="I28" s="336">
        <v>0</v>
      </c>
      <c r="J28" s="336">
        <v>47.63</v>
      </c>
      <c r="K28" s="336">
        <v>47.63</v>
      </c>
      <c r="L28" s="343">
        <f t="shared" si="0"/>
        <v>0</v>
      </c>
    </row>
    <row r="29" spans="1:12" ht="15.6" x14ac:dyDescent="0.3">
      <c r="A29" s="337"/>
      <c r="B29" s="338"/>
      <c r="C29" s="338"/>
      <c r="D29" s="338"/>
      <c r="E29" s="338" t="s">
        <v>664</v>
      </c>
      <c r="F29" s="337"/>
      <c r="G29" s="336"/>
      <c r="H29" s="336"/>
      <c r="I29" s="336"/>
      <c r="J29" s="336"/>
      <c r="K29" s="336"/>
      <c r="L29" s="343"/>
    </row>
    <row r="30" spans="1:12" ht="15.6" x14ac:dyDescent="0.3">
      <c r="A30" s="339"/>
      <c r="B30" s="340"/>
      <c r="C30" s="340"/>
      <c r="D30" s="340"/>
      <c r="E30" s="340"/>
      <c r="F30" s="339" t="s">
        <v>665</v>
      </c>
      <c r="G30" s="336">
        <v>250</v>
      </c>
      <c r="H30" s="336">
        <v>250</v>
      </c>
      <c r="I30" s="336">
        <v>250</v>
      </c>
      <c r="J30" s="336">
        <v>250</v>
      </c>
      <c r="K30" s="336">
        <v>250</v>
      </c>
      <c r="L30" s="343">
        <f t="shared" si="0"/>
        <v>300</v>
      </c>
    </row>
    <row r="31" spans="1:12" ht="16.8" x14ac:dyDescent="0.4">
      <c r="A31" s="339"/>
      <c r="B31" s="340"/>
      <c r="C31" s="340"/>
      <c r="D31" s="340"/>
      <c r="E31" s="340"/>
      <c r="F31" s="339" t="s">
        <v>666</v>
      </c>
      <c r="G31" s="351">
        <v>75</v>
      </c>
      <c r="H31" s="351">
        <v>75</v>
      </c>
      <c r="I31" s="351">
        <v>75</v>
      </c>
      <c r="J31" s="351">
        <v>75</v>
      </c>
      <c r="K31" s="351">
        <v>75</v>
      </c>
      <c r="L31" s="352">
        <f t="shared" si="0"/>
        <v>100</v>
      </c>
    </row>
    <row r="32" spans="1:12" ht="16.8" x14ac:dyDescent="0.4">
      <c r="A32" s="339"/>
      <c r="B32" s="340"/>
      <c r="C32" s="340"/>
      <c r="D32" s="340"/>
      <c r="E32" s="346" t="s">
        <v>667</v>
      </c>
      <c r="F32" s="347"/>
      <c r="G32" s="348">
        <f>SUBTOTAL(9, (G29:G31))</f>
        <v>325</v>
      </c>
      <c r="H32" s="348">
        <f>SUBTOTAL(9, (H29:H31))</f>
        <v>325</v>
      </c>
      <c r="I32" s="348">
        <f>SUBTOTAL(9, (I29:I31))</f>
        <v>325</v>
      </c>
      <c r="J32" s="348">
        <f>SUBTOTAL(9, (J29:J31))</f>
        <v>325</v>
      </c>
      <c r="K32" s="348">
        <f>SUBTOTAL(9, (K29:K31))</f>
        <v>325</v>
      </c>
      <c r="L32" s="349">
        <f t="shared" si="0"/>
        <v>300</v>
      </c>
    </row>
    <row r="33" spans="1:12" ht="16.8" x14ac:dyDescent="0.4">
      <c r="A33" s="339"/>
      <c r="B33" s="340"/>
      <c r="C33" s="340"/>
      <c r="D33" s="340"/>
      <c r="E33" s="346"/>
      <c r="F33" s="347"/>
      <c r="G33" s="348"/>
      <c r="H33" s="348"/>
      <c r="I33" s="348"/>
      <c r="J33" s="348"/>
      <c r="K33" s="348"/>
      <c r="L33" s="349"/>
    </row>
    <row r="34" spans="1:12" ht="15.6" x14ac:dyDescent="0.3">
      <c r="A34" s="339"/>
      <c r="B34" s="340"/>
      <c r="C34" s="340"/>
      <c r="D34" s="340"/>
      <c r="E34" s="340"/>
      <c r="F34" s="339" t="s">
        <v>668</v>
      </c>
      <c r="G34" s="336">
        <v>0</v>
      </c>
      <c r="H34" s="336">
        <v>544</v>
      </c>
      <c r="I34" s="336">
        <v>433</v>
      </c>
      <c r="J34" s="336">
        <v>103.47</v>
      </c>
      <c r="K34" s="336">
        <v>319.97000000000003</v>
      </c>
      <c r="L34" s="343">
        <f t="shared" si="0"/>
        <v>300</v>
      </c>
    </row>
    <row r="35" spans="1:12" ht="15.6" x14ac:dyDescent="0.3">
      <c r="A35" s="339"/>
      <c r="B35" s="340"/>
      <c r="C35" s="340"/>
      <c r="D35" s="340"/>
      <c r="E35" s="340"/>
      <c r="F35" s="339" t="s">
        <v>669</v>
      </c>
      <c r="G35" s="336">
        <v>695.43</v>
      </c>
      <c r="H35" s="336">
        <v>0</v>
      </c>
      <c r="I35" s="336">
        <v>0</v>
      </c>
      <c r="J35" s="336">
        <v>0</v>
      </c>
      <c r="K35" s="336">
        <v>-347.71499999999997</v>
      </c>
      <c r="L35" s="343">
        <f t="shared" si="0"/>
        <v>-300</v>
      </c>
    </row>
    <row r="36" spans="1:12" ht="15.6" x14ac:dyDescent="0.3">
      <c r="A36" s="339"/>
      <c r="B36" s="340"/>
      <c r="C36" s="340"/>
      <c r="D36" s="340"/>
      <c r="E36" s="340"/>
      <c r="F36" s="339" t="s">
        <v>670</v>
      </c>
      <c r="G36" s="336">
        <v>200</v>
      </c>
      <c r="H36" s="336">
        <v>322</v>
      </c>
      <c r="I36" s="336">
        <v>0</v>
      </c>
      <c r="J36" s="336">
        <v>0</v>
      </c>
      <c r="K36" s="336">
        <v>-99.999999999999901</v>
      </c>
      <c r="L36" s="343">
        <f t="shared" si="0"/>
        <v>-100</v>
      </c>
    </row>
    <row r="37" spans="1:12" ht="15.6" x14ac:dyDescent="0.3">
      <c r="A37" s="339"/>
      <c r="B37" s="340"/>
      <c r="C37" s="340"/>
      <c r="D37" s="340"/>
      <c r="E37" s="340"/>
      <c r="F37" s="339" t="s">
        <v>671</v>
      </c>
      <c r="G37" s="336">
        <v>79</v>
      </c>
      <c r="H37" s="336">
        <v>222</v>
      </c>
      <c r="I37" s="336">
        <v>3656</v>
      </c>
      <c r="J37" s="336">
        <v>87.19</v>
      </c>
      <c r="K37" s="336">
        <v>1875.69</v>
      </c>
      <c r="L37" s="343">
        <f t="shared" si="0"/>
        <v>1900</v>
      </c>
    </row>
    <row r="38" spans="1:12" ht="15.6" x14ac:dyDescent="0.3">
      <c r="A38" s="339"/>
      <c r="B38" s="340"/>
      <c r="C38" s="340"/>
      <c r="D38" s="340"/>
      <c r="E38" s="340"/>
      <c r="F38" s="339" t="s">
        <v>672</v>
      </c>
      <c r="G38" s="336">
        <v>430</v>
      </c>
      <c r="H38" s="336">
        <v>0</v>
      </c>
      <c r="I38" s="336">
        <v>0</v>
      </c>
      <c r="J38" s="336">
        <v>0</v>
      </c>
      <c r="K38" s="336">
        <v>-215</v>
      </c>
      <c r="L38" s="343">
        <f t="shared" si="0"/>
        <v>-200</v>
      </c>
    </row>
    <row r="39" spans="1:12" ht="15.6" x14ac:dyDescent="0.3">
      <c r="A39" s="339"/>
      <c r="B39" s="340"/>
      <c r="C39" s="340"/>
      <c r="D39" s="340"/>
      <c r="E39" s="340"/>
      <c r="F39" s="339" t="s">
        <v>673</v>
      </c>
      <c r="G39" s="336">
        <v>0</v>
      </c>
      <c r="H39" s="336">
        <v>0</v>
      </c>
      <c r="I39" s="336">
        <v>0</v>
      </c>
      <c r="J39" s="336">
        <v>0</v>
      </c>
      <c r="K39" s="336">
        <v>0</v>
      </c>
      <c r="L39" s="343">
        <f t="shared" si="0"/>
        <v>0</v>
      </c>
    </row>
    <row r="40" spans="1:12" ht="15.6" x14ac:dyDescent="0.3">
      <c r="A40" s="339"/>
      <c r="B40" s="340"/>
      <c r="C40" s="340"/>
      <c r="D40" s="340"/>
      <c r="E40" s="340"/>
      <c r="F40" s="339"/>
      <c r="G40" s="336"/>
      <c r="H40" s="336"/>
      <c r="I40" s="336"/>
      <c r="J40" s="336"/>
      <c r="K40" s="336"/>
      <c r="L40" s="343"/>
    </row>
    <row r="41" spans="1:12" ht="15.6" x14ac:dyDescent="0.3">
      <c r="A41" s="337"/>
      <c r="B41" s="338"/>
      <c r="C41" s="338"/>
      <c r="D41" s="338"/>
      <c r="E41" s="338" t="s">
        <v>674</v>
      </c>
      <c r="F41" s="337"/>
      <c r="G41" s="336"/>
      <c r="H41" s="336"/>
      <c r="I41" s="336"/>
      <c r="J41" s="336"/>
      <c r="K41" s="336"/>
      <c r="L41" s="343"/>
    </row>
    <row r="42" spans="1:12" ht="16.8" x14ac:dyDescent="0.4">
      <c r="A42" s="339"/>
      <c r="B42" s="340"/>
      <c r="C42" s="340"/>
      <c r="D42" s="340"/>
      <c r="E42" s="340"/>
      <c r="F42" s="339" t="s">
        <v>675</v>
      </c>
      <c r="G42" s="351">
        <v>345.76</v>
      </c>
      <c r="H42" s="351">
        <v>2344.9</v>
      </c>
      <c r="I42" s="351">
        <v>128</v>
      </c>
      <c r="J42" s="351">
        <v>235</v>
      </c>
      <c r="K42" s="351">
        <v>126.12</v>
      </c>
      <c r="L42" s="352">
        <f t="shared" si="0"/>
        <v>100</v>
      </c>
    </row>
    <row r="43" spans="1:12" ht="16.8" x14ac:dyDescent="0.4">
      <c r="A43" s="339"/>
      <c r="B43" s="340"/>
      <c r="C43" s="340"/>
      <c r="D43" s="340"/>
      <c r="E43" s="346" t="s">
        <v>676</v>
      </c>
      <c r="F43" s="347"/>
      <c r="G43" s="351">
        <f>SUBTOTAL(9, (G41:G42))</f>
        <v>345.76</v>
      </c>
      <c r="H43" s="351">
        <f>SUBTOTAL(9, (H41:H42))</f>
        <v>2344.9</v>
      </c>
      <c r="I43" s="351">
        <f>SUBTOTAL(9, (I41:I42))</f>
        <v>128</v>
      </c>
      <c r="J43" s="351">
        <f>SUBTOTAL(9, (J41:J42))</f>
        <v>235</v>
      </c>
      <c r="K43" s="351">
        <f>SUBTOTAL(9, (K41:K42))</f>
        <v>126.12</v>
      </c>
      <c r="L43" s="352">
        <f t="shared" si="0"/>
        <v>100</v>
      </c>
    </row>
    <row r="44" spans="1:12" ht="16.8" x14ac:dyDescent="0.4">
      <c r="A44" s="339"/>
      <c r="B44" s="340"/>
      <c r="C44" s="340"/>
      <c r="D44" s="340"/>
      <c r="E44" s="346"/>
      <c r="F44" s="347"/>
      <c r="G44" s="351"/>
      <c r="H44" s="351"/>
      <c r="I44" s="351"/>
      <c r="J44" s="351"/>
      <c r="K44" s="351"/>
      <c r="L44" s="353"/>
    </row>
    <row r="45" spans="1:12" ht="15.6" x14ac:dyDescent="0.3">
      <c r="A45" s="337"/>
      <c r="B45" s="338"/>
      <c r="C45" s="338"/>
      <c r="D45" s="338"/>
      <c r="E45" s="338" t="s">
        <v>677</v>
      </c>
      <c r="F45" s="337"/>
      <c r="G45" s="336"/>
      <c r="H45" s="336"/>
      <c r="I45" s="336"/>
      <c r="J45" s="336"/>
      <c r="K45" s="336"/>
      <c r="L45" s="342"/>
    </row>
    <row r="46" spans="1:12" ht="15.6" x14ac:dyDescent="0.3">
      <c r="A46" s="339"/>
      <c r="B46" s="340"/>
      <c r="C46" s="340"/>
      <c r="D46" s="340"/>
      <c r="E46" s="340"/>
      <c r="F46" s="339" t="s">
        <v>678</v>
      </c>
      <c r="G46" s="336">
        <v>118.57</v>
      </c>
      <c r="H46" s="336">
        <v>49.05</v>
      </c>
      <c r="I46" s="336">
        <v>0</v>
      </c>
      <c r="J46" s="336">
        <v>64.78</v>
      </c>
      <c r="K46" s="336">
        <v>5.4949999999999797</v>
      </c>
      <c r="L46" s="343">
        <f t="shared" si="0"/>
        <v>0</v>
      </c>
    </row>
    <row r="47" spans="1:12" ht="16.8" x14ac:dyDescent="0.4">
      <c r="A47" s="339"/>
      <c r="B47" s="340"/>
      <c r="C47" s="340"/>
      <c r="D47" s="340"/>
      <c r="E47" s="340"/>
      <c r="F47" s="339" t="s">
        <v>679</v>
      </c>
      <c r="G47" s="351">
        <v>86</v>
      </c>
      <c r="H47" s="351">
        <v>0</v>
      </c>
      <c r="I47" s="351">
        <v>111.11</v>
      </c>
      <c r="J47" s="351">
        <v>0</v>
      </c>
      <c r="K47" s="351">
        <v>12.555</v>
      </c>
      <c r="L47" s="352">
        <f t="shared" si="0"/>
        <v>0</v>
      </c>
    </row>
    <row r="48" spans="1:12" ht="16.8" x14ac:dyDescent="0.4">
      <c r="A48" s="339"/>
      <c r="B48" s="340"/>
      <c r="C48" s="340"/>
      <c r="D48" s="340"/>
      <c r="E48" s="346" t="s">
        <v>680</v>
      </c>
      <c r="F48" s="347"/>
      <c r="G48" s="348">
        <f>SUBTOTAL(9, (G45:G47))</f>
        <v>204.57</v>
      </c>
      <c r="H48" s="348">
        <f>SUBTOTAL(9, (H45:H47))</f>
        <v>49.05</v>
      </c>
      <c r="I48" s="348">
        <f>SUBTOTAL(9, (I45:I47))</f>
        <v>111.11</v>
      </c>
      <c r="J48" s="348">
        <f>SUBTOTAL(9, (J45:J47))</f>
        <v>64.78</v>
      </c>
      <c r="K48" s="348">
        <f>SUBTOTAL(9, (K45:K47))</f>
        <v>18.049999999999979</v>
      </c>
      <c r="L48" s="349">
        <f t="shared" si="0"/>
        <v>0</v>
      </c>
    </row>
    <row r="49" spans="1:12" ht="16.8" x14ac:dyDescent="0.4">
      <c r="A49" s="339"/>
      <c r="B49" s="340"/>
      <c r="C49" s="340"/>
      <c r="D49" s="340"/>
      <c r="E49" s="346"/>
      <c r="F49" s="347"/>
      <c r="G49" s="348"/>
      <c r="H49" s="348"/>
      <c r="I49" s="348"/>
      <c r="J49" s="348"/>
      <c r="K49" s="348"/>
      <c r="L49" s="349"/>
    </row>
    <row r="50" spans="1:12" ht="15.6" x14ac:dyDescent="0.3">
      <c r="A50" s="337"/>
      <c r="B50" s="338"/>
      <c r="C50" s="338"/>
      <c r="D50" s="338"/>
      <c r="E50" s="338" t="s">
        <v>681</v>
      </c>
      <c r="F50" s="337"/>
      <c r="G50" s="336"/>
      <c r="H50" s="336"/>
      <c r="I50" s="336"/>
      <c r="J50" s="336"/>
      <c r="K50" s="336"/>
      <c r="L50" s="342"/>
    </row>
    <row r="51" spans="1:12" ht="16.8" x14ac:dyDescent="0.4">
      <c r="A51" s="339"/>
      <c r="B51" s="340"/>
      <c r="C51" s="340"/>
      <c r="D51" s="340"/>
      <c r="E51" s="340"/>
      <c r="F51" s="339" t="s">
        <v>682</v>
      </c>
      <c r="G51" s="351">
        <v>0</v>
      </c>
      <c r="H51" s="351">
        <v>500</v>
      </c>
      <c r="I51" s="351">
        <v>0</v>
      </c>
      <c r="J51" s="351">
        <v>1000</v>
      </c>
      <c r="K51" s="351">
        <v>1000</v>
      </c>
      <c r="L51" s="353">
        <f t="shared" si="0"/>
        <v>1000</v>
      </c>
    </row>
    <row r="52" spans="1:12" ht="16.8" x14ac:dyDescent="0.4">
      <c r="A52" s="339"/>
      <c r="B52" s="340"/>
      <c r="C52" s="340"/>
      <c r="D52" s="340"/>
      <c r="E52" s="346" t="s">
        <v>683</v>
      </c>
      <c r="F52" s="347"/>
      <c r="G52" s="351">
        <f>SUBTOTAL(9, (G50:G51))</f>
        <v>0</v>
      </c>
      <c r="H52" s="351">
        <f>SUBTOTAL(9, (H50:H51))</f>
        <v>500</v>
      </c>
      <c r="I52" s="351">
        <f>SUBTOTAL(9, (I50:I51))</f>
        <v>0</v>
      </c>
      <c r="J52" s="351">
        <f>SUBTOTAL(9, (J50:J51))</f>
        <v>1000</v>
      </c>
      <c r="K52" s="351">
        <f>SUBTOTAL(9, (K50:K51))</f>
        <v>1000</v>
      </c>
      <c r="L52" s="353">
        <f t="shared" si="0"/>
        <v>1000</v>
      </c>
    </row>
    <row r="53" spans="1:12" ht="16.8" x14ac:dyDescent="0.4">
      <c r="A53" s="339"/>
      <c r="B53" s="340"/>
      <c r="C53" s="340"/>
      <c r="D53" s="340"/>
      <c r="E53" s="346"/>
      <c r="F53" s="347"/>
      <c r="G53" s="351"/>
      <c r="H53" s="351"/>
      <c r="I53" s="351"/>
      <c r="J53" s="351"/>
      <c r="K53" s="351"/>
      <c r="L53" s="353"/>
    </row>
    <row r="54" spans="1:12" ht="16.8" x14ac:dyDescent="0.4">
      <c r="A54" s="339"/>
      <c r="B54" s="340"/>
      <c r="C54" s="340"/>
      <c r="D54" s="340"/>
      <c r="E54" s="340"/>
      <c r="F54" s="339" t="s">
        <v>684</v>
      </c>
      <c r="G54" s="351">
        <v>0</v>
      </c>
      <c r="H54" s="351">
        <v>0</v>
      </c>
      <c r="I54" s="351">
        <v>0</v>
      </c>
      <c r="J54" s="351">
        <v>0</v>
      </c>
      <c r="K54" s="351">
        <v>0</v>
      </c>
      <c r="L54" s="352">
        <f t="shared" si="0"/>
        <v>0</v>
      </c>
    </row>
    <row r="55" spans="1:12" ht="16.8" x14ac:dyDescent="0.4">
      <c r="A55" s="339"/>
      <c r="B55" s="340"/>
      <c r="C55" s="340"/>
      <c r="D55" s="346" t="s">
        <v>685</v>
      </c>
      <c r="E55" s="346"/>
      <c r="F55" s="347"/>
      <c r="G55" s="348">
        <f>G25+G27+G28+G32+G34+G35+G36+G37+G38+G39+G43+G48+G52+G54</f>
        <v>3061.7599999999998</v>
      </c>
      <c r="H55" s="348">
        <f>H25+H27+H28+H32+H34+H35+H36+H37+H38+H39+H43+H48+H52+H54</f>
        <v>4928.95</v>
      </c>
      <c r="I55" s="348">
        <f>I25+I27+I28+I32+I34+I35+I36+I37+I38+I39+I43+I48+I52+I54</f>
        <v>4925.1099999999997</v>
      </c>
      <c r="J55" s="348">
        <f>J25+J27+J28+J32+J34+J35+J36+J37+J38+J39+J43+J48+J52+J54</f>
        <v>2506.0699999999997</v>
      </c>
      <c r="K55" s="348">
        <f>K25+K27+K28+K32+K34+K35+K36+K37+K38+K39+K43+K48+K52+K54</f>
        <v>3437.7450000000003</v>
      </c>
      <c r="L55" s="349">
        <f t="shared" si="0"/>
        <v>3400</v>
      </c>
    </row>
    <row r="56" spans="1:12" ht="16.8" x14ac:dyDescent="0.4">
      <c r="A56" s="339"/>
      <c r="B56" s="340"/>
      <c r="C56" s="340"/>
      <c r="D56" s="346"/>
      <c r="E56" s="346"/>
      <c r="F56" s="347"/>
      <c r="G56" s="348"/>
      <c r="H56" s="348"/>
      <c r="I56" s="348"/>
      <c r="J56" s="348"/>
      <c r="K56" s="348"/>
      <c r="L56" s="350"/>
    </row>
    <row r="57" spans="1:12" ht="16.8" x14ac:dyDescent="0.4">
      <c r="A57" s="339"/>
      <c r="B57" s="354" t="s">
        <v>686</v>
      </c>
      <c r="C57" s="354"/>
      <c r="D57" s="354"/>
      <c r="E57" s="354"/>
      <c r="F57" s="355"/>
      <c r="G57" s="348">
        <f>G19-G55</f>
        <v>16411.500000000004</v>
      </c>
      <c r="H57" s="348">
        <f>H19-H55</f>
        <v>21597.3</v>
      </c>
      <c r="I57" s="348">
        <f>I19-I55</f>
        <v>26811.87000000001</v>
      </c>
      <c r="J57" s="348">
        <f>J19-J55</f>
        <v>42192.569999999985</v>
      </c>
      <c r="K57" s="348">
        <f>K19-K55</f>
        <v>47392.754999999968</v>
      </c>
      <c r="L57" s="349">
        <f t="shared" si="0"/>
        <v>47400</v>
      </c>
    </row>
    <row r="58" spans="1:12" ht="16.8" x14ac:dyDescent="0.4">
      <c r="A58" s="339"/>
      <c r="B58" s="354"/>
      <c r="C58" s="354"/>
      <c r="D58" s="354"/>
      <c r="E58" s="354"/>
      <c r="F58" s="355"/>
      <c r="G58" s="348"/>
      <c r="H58" s="348"/>
      <c r="I58" s="348"/>
      <c r="J58" s="348"/>
      <c r="K58" s="348"/>
      <c r="L58" s="349"/>
    </row>
    <row r="59" spans="1:12" ht="15.6" x14ac:dyDescent="0.3">
      <c r="A59" s="334"/>
      <c r="B59" s="335" t="s">
        <v>687</v>
      </c>
      <c r="C59" s="335"/>
      <c r="D59" s="335"/>
      <c r="E59" s="335"/>
      <c r="F59" s="334"/>
      <c r="G59" s="336"/>
      <c r="H59" s="336"/>
      <c r="I59" s="336"/>
      <c r="J59" s="336"/>
      <c r="K59" s="336"/>
      <c r="L59" s="342"/>
    </row>
    <row r="60" spans="1:12" ht="15.6" x14ac:dyDescent="0.3">
      <c r="A60" s="334"/>
      <c r="B60" s="335"/>
      <c r="C60" s="335"/>
      <c r="D60" s="335"/>
      <c r="E60" s="335"/>
      <c r="F60" s="334"/>
      <c r="G60" s="336"/>
      <c r="H60" s="336"/>
      <c r="I60" s="336"/>
      <c r="J60" s="336"/>
      <c r="K60" s="336"/>
      <c r="L60" s="342"/>
    </row>
    <row r="61" spans="1:12" ht="15.6" x14ac:dyDescent="0.3">
      <c r="A61" s="337"/>
      <c r="B61" s="338"/>
      <c r="C61" s="338"/>
      <c r="D61" s="338" t="s">
        <v>688</v>
      </c>
      <c r="E61" s="338"/>
      <c r="F61" s="337"/>
      <c r="G61" s="336"/>
      <c r="H61" s="336"/>
      <c r="I61" s="336"/>
      <c r="J61" s="336"/>
      <c r="K61" s="336"/>
      <c r="L61" s="342"/>
    </row>
    <row r="62" spans="1:12" ht="15.6" x14ac:dyDescent="0.3">
      <c r="A62" s="339"/>
      <c r="B62" s="340"/>
      <c r="C62" s="340"/>
      <c r="D62" s="340"/>
      <c r="E62" s="340"/>
      <c r="F62" s="339" t="s">
        <v>689</v>
      </c>
      <c r="G62" s="336">
        <v>400</v>
      </c>
      <c r="H62" s="336">
        <v>0</v>
      </c>
      <c r="I62" s="336">
        <v>0</v>
      </c>
      <c r="J62" s="336">
        <v>0</v>
      </c>
      <c r="K62" s="336">
        <v>-200</v>
      </c>
      <c r="L62" s="343">
        <f t="shared" si="0"/>
        <v>-200</v>
      </c>
    </row>
    <row r="63" spans="1:12" ht="15.6" x14ac:dyDescent="0.3">
      <c r="A63" s="339"/>
      <c r="B63" s="340"/>
      <c r="C63" s="340"/>
      <c r="D63" s="340"/>
      <c r="E63" s="340"/>
      <c r="F63" s="339" t="s">
        <v>690</v>
      </c>
      <c r="G63" s="336">
        <v>0</v>
      </c>
      <c r="H63" s="336">
        <v>0</v>
      </c>
      <c r="I63" s="336">
        <v>1.48</v>
      </c>
      <c r="J63" s="336">
        <v>0</v>
      </c>
      <c r="K63" s="336">
        <v>0.74</v>
      </c>
      <c r="L63" s="343">
        <f t="shared" si="0"/>
        <v>0</v>
      </c>
    </row>
    <row r="64" spans="1:12" ht="16.8" x14ac:dyDescent="0.4">
      <c r="A64" s="339"/>
      <c r="B64" s="340"/>
      <c r="C64" s="340"/>
      <c r="D64" s="340"/>
      <c r="E64" s="340"/>
      <c r="F64" s="339" t="s">
        <v>691</v>
      </c>
      <c r="G64" s="351">
        <v>0</v>
      </c>
      <c r="H64" s="351">
        <v>528.42999999999995</v>
      </c>
      <c r="I64" s="351">
        <v>0</v>
      </c>
      <c r="J64" s="351">
        <v>526</v>
      </c>
      <c r="K64" s="351">
        <v>526</v>
      </c>
      <c r="L64" s="352">
        <f t="shared" si="0"/>
        <v>500</v>
      </c>
    </row>
    <row r="65" spans="1:12" ht="16.8" x14ac:dyDescent="0.4">
      <c r="A65" s="339"/>
      <c r="B65" s="340"/>
      <c r="C65" s="340"/>
      <c r="D65" s="346" t="s">
        <v>692</v>
      </c>
      <c r="E65" s="346"/>
      <c r="F65" s="347"/>
      <c r="G65" s="348">
        <f>SUBTOTAL(9, (G61:G64))</f>
        <v>400</v>
      </c>
      <c r="H65" s="348">
        <f>SUBTOTAL(9, (H61:H64))</f>
        <v>528.42999999999995</v>
      </c>
      <c r="I65" s="348">
        <f>SUBTOTAL(9, (I61:I64))</f>
        <v>1.48</v>
      </c>
      <c r="J65" s="348">
        <f>SUBTOTAL(9, (J61:J64))</f>
        <v>526</v>
      </c>
      <c r="K65" s="348">
        <f>SUBTOTAL(9, (K61:K64))</f>
        <v>326.74</v>
      </c>
      <c r="L65" s="349">
        <f t="shared" si="0"/>
        <v>300</v>
      </c>
    </row>
    <row r="66" spans="1:12" ht="16.8" x14ac:dyDescent="0.4">
      <c r="A66" s="339"/>
      <c r="B66" s="340"/>
      <c r="C66" s="340"/>
      <c r="D66" s="346"/>
      <c r="E66" s="346"/>
      <c r="F66" s="347"/>
      <c r="G66" s="348"/>
      <c r="H66" s="348"/>
      <c r="I66" s="348"/>
      <c r="J66" s="348"/>
      <c r="K66" s="348"/>
      <c r="L66" s="349"/>
    </row>
    <row r="67" spans="1:12" ht="16.8" x14ac:dyDescent="0.4">
      <c r="A67" s="337"/>
      <c r="B67" s="338"/>
      <c r="C67" s="338"/>
      <c r="D67" s="338" t="s">
        <v>693</v>
      </c>
      <c r="E67" s="338"/>
      <c r="F67" s="337"/>
      <c r="G67" s="351"/>
      <c r="H67" s="351"/>
      <c r="I67" s="351"/>
      <c r="J67" s="351"/>
      <c r="K67" s="351"/>
      <c r="L67" s="353"/>
    </row>
    <row r="68" spans="1:12" ht="16.8" x14ac:dyDescent="0.4">
      <c r="A68" s="339"/>
      <c r="B68" s="340"/>
      <c r="C68" s="340"/>
      <c r="D68" s="340"/>
      <c r="E68" s="340"/>
      <c r="F68" s="339" t="s">
        <v>694</v>
      </c>
      <c r="G68" s="351">
        <v>245</v>
      </c>
      <c r="H68" s="351">
        <v>289</v>
      </c>
      <c r="I68" s="351">
        <v>308.45</v>
      </c>
      <c r="J68" s="351">
        <v>178</v>
      </c>
      <c r="K68" s="351">
        <v>209.72499999999999</v>
      </c>
      <c r="L68" s="352">
        <f t="shared" si="0"/>
        <v>200</v>
      </c>
    </row>
    <row r="69" spans="1:12" ht="16.8" x14ac:dyDescent="0.4">
      <c r="A69" s="339"/>
      <c r="B69" s="340"/>
      <c r="C69" s="340"/>
      <c r="D69" s="346" t="s">
        <v>695</v>
      </c>
      <c r="E69" s="346"/>
      <c r="F69" s="347"/>
      <c r="G69" s="351">
        <f>SUBTOTAL(9, (G67:G68))</f>
        <v>245</v>
      </c>
      <c r="H69" s="351">
        <f>SUBTOTAL(9, (H67:H68))</f>
        <v>289</v>
      </c>
      <c r="I69" s="351">
        <f>SUBTOTAL(9, (I67:I68))</f>
        <v>308.45</v>
      </c>
      <c r="J69" s="351">
        <f>SUBTOTAL(9, (J67:J68))</f>
        <v>178</v>
      </c>
      <c r="K69" s="351">
        <f>SUBTOTAL(9, (K67:K68))</f>
        <v>209.72499999999999</v>
      </c>
      <c r="L69" s="352">
        <f t="shared" si="0"/>
        <v>200</v>
      </c>
    </row>
    <row r="70" spans="1:12" ht="16.8" x14ac:dyDescent="0.4">
      <c r="A70" s="339"/>
      <c r="B70" s="340"/>
      <c r="C70" s="340"/>
      <c r="D70" s="346"/>
      <c r="E70" s="346"/>
      <c r="F70" s="347"/>
      <c r="G70" s="351"/>
      <c r="H70" s="351"/>
      <c r="I70" s="351"/>
      <c r="J70" s="351"/>
      <c r="K70" s="351"/>
      <c r="L70" s="353"/>
    </row>
    <row r="71" spans="1:12" ht="16.8" x14ac:dyDescent="0.4">
      <c r="A71" s="339"/>
      <c r="B71" s="354" t="s">
        <v>696</v>
      </c>
      <c r="C71" s="354"/>
      <c r="D71" s="354"/>
      <c r="E71" s="354"/>
      <c r="F71" s="355"/>
      <c r="G71" s="348">
        <f>G65-G69</f>
        <v>155</v>
      </c>
      <c r="H71" s="348">
        <f>H65-H69</f>
        <v>239.42999999999995</v>
      </c>
      <c r="I71" s="348">
        <f>I65-I69</f>
        <v>-306.96999999999997</v>
      </c>
      <c r="J71" s="348">
        <f>J65-J69</f>
        <v>348</v>
      </c>
      <c r="K71" s="348">
        <f>K65-K69</f>
        <v>117.01500000000001</v>
      </c>
      <c r="L71" s="349">
        <f t="shared" si="0"/>
        <v>100</v>
      </c>
    </row>
    <row r="72" spans="1:12" ht="16.8" x14ac:dyDescent="0.4">
      <c r="A72" s="339"/>
      <c r="B72" s="354"/>
      <c r="C72" s="354"/>
      <c r="D72" s="354"/>
      <c r="E72" s="354"/>
      <c r="F72" s="355"/>
      <c r="G72" s="348"/>
      <c r="H72" s="348"/>
      <c r="I72" s="348"/>
      <c r="J72" s="348"/>
      <c r="K72" s="348"/>
      <c r="L72" s="349"/>
    </row>
    <row r="73" spans="1:12" ht="16.8" x14ac:dyDescent="0.4">
      <c r="A73" s="356" t="s">
        <v>698</v>
      </c>
      <c r="B73" s="357"/>
      <c r="C73" s="357"/>
      <c r="D73" s="357"/>
      <c r="E73" s="357"/>
      <c r="F73" s="356"/>
      <c r="G73" s="358">
        <f>G57+G71</f>
        <v>16566.500000000004</v>
      </c>
      <c r="H73" s="358">
        <f>H57+H71</f>
        <v>21836.73</v>
      </c>
      <c r="I73" s="358">
        <f>I57+I71</f>
        <v>26504.900000000009</v>
      </c>
      <c r="J73" s="358">
        <f>J57+J71</f>
        <v>42540.569999999985</v>
      </c>
      <c r="K73" s="358">
        <f>K57+K71</f>
        <v>47509.769999999968</v>
      </c>
      <c r="L73" s="359">
        <f t="shared" si="0"/>
        <v>47500</v>
      </c>
    </row>
    <row r="74" spans="1:12" ht="14.4" x14ac:dyDescent="0.3">
      <c r="B74" s="167"/>
      <c r="C74" s="167"/>
      <c r="D74" s="167"/>
      <c r="E74" s="167"/>
      <c r="F74" s="167"/>
      <c r="G74" s="167"/>
      <c r="H74" s="167"/>
      <c r="I74" s="167"/>
      <c r="J74" s="167"/>
      <c r="K74" s="167"/>
      <c r="L74" s="360"/>
    </row>
    <row r="75" spans="1:12" ht="14.4" x14ac:dyDescent="0.3">
      <c r="B75" s="167"/>
      <c r="C75" s="167"/>
      <c r="D75" s="167"/>
      <c r="E75" s="167"/>
      <c r="F75" s="167"/>
      <c r="G75" s="361"/>
      <c r="H75" s="167"/>
      <c r="I75" s="167"/>
      <c r="J75" s="167"/>
      <c r="K75" s="167"/>
      <c r="L75" s="360"/>
    </row>
    <row r="76" spans="1:12" s="323" customFormat="1" ht="15.6" x14ac:dyDescent="0.3">
      <c r="B76" s="324"/>
      <c r="L76" s="325"/>
    </row>
    <row r="77" spans="1:12" s="323" customFormat="1" ht="15.6" x14ac:dyDescent="0.3">
      <c r="B77" s="324"/>
      <c r="L77" s="325"/>
    </row>
    <row r="78" spans="1:12" s="323" customFormat="1" ht="15.6" x14ac:dyDescent="0.3">
      <c r="B78" s="324"/>
      <c r="L78" s="325"/>
    </row>
    <row r="79" spans="1:12" s="323" customFormat="1" ht="15.6" x14ac:dyDescent="0.3">
      <c r="B79" s="324"/>
      <c r="L79" s="325"/>
    </row>
    <row r="80" spans="1:12" s="323" customFormat="1" ht="15.6" x14ac:dyDescent="0.3">
      <c r="B80" s="324"/>
      <c r="L80" s="325"/>
    </row>
    <row r="81" spans="2:12" s="323" customFormat="1" ht="15.6" x14ac:dyDescent="0.3">
      <c r="B81" s="324"/>
      <c r="L81" s="325"/>
    </row>
    <row r="82" spans="2:12" s="323" customFormat="1" ht="15.6" x14ac:dyDescent="0.3">
      <c r="B82" s="324"/>
      <c r="L82" s="325"/>
    </row>
    <row r="83" spans="2:12" s="323" customFormat="1" ht="15.6" x14ac:dyDescent="0.3">
      <c r="B83" s="324"/>
      <c r="L83" s="325"/>
    </row>
    <row r="84" spans="2:12" s="323" customFormat="1" ht="15.6" x14ac:dyDescent="0.3">
      <c r="B84" s="324"/>
      <c r="L84" s="325"/>
    </row>
    <row r="85" spans="2:12" s="323" customFormat="1" ht="15.6" x14ac:dyDescent="0.3">
      <c r="B85" s="324"/>
      <c r="L85" s="325"/>
    </row>
    <row r="86" spans="2:12" s="323" customFormat="1" ht="15.6" x14ac:dyDescent="0.3">
      <c r="B86" s="324"/>
      <c r="L86" s="325"/>
    </row>
    <row r="87" spans="2:12" s="323" customFormat="1" ht="15.6" x14ac:dyDescent="0.3">
      <c r="B87" s="324"/>
      <c r="L87" s="325"/>
    </row>
    <row r="88" spans="2:12" s="323" customFormat="1" ht="15.6" x14ac:dyDescent="0.3">
      <c r="B88" s="324"/>
      <c r="L88" s="325"/>
    </row>
    <row r="89" spans="2:12" s="323" customFormat="1" ht="15.6" x14ac:dyDescent="0.3">
      <c r="B89" s="324"/>
      <c r="L89" s="325"/>
    </row>
    <row r="90" spans="2:12" s="323" customFormat="1" ht="15.6" x14ac:dyDescent="0.3">
      <c r="B90" s="324"/>
      <c r="L90" s="325"/>
    </row>
    <row r="91" spans="2:12" s="323" customFormat="1" ht="15.6" x14ac:dyDescent="0.3">
      <c r="B91" s="324"/>
      <c r="L91" s="325"/>
    </row>
    <row r="92" spans="2:12" s="323" customFormat="1" ht="15.6" x14ac:dyDescent="0.3">
      <c r="B92" s="324"/>
      <c r="L92" s="325"/>
    </row>
    <row r="93" spans="2:12" s="323" customFormat="1" ht="15.6" x14ac:dyDescent="0.3">
      <c r="B93" s="324"/>
      <c r="L93" s="325"/>
    </row>
    <row r="94" spans="2:12" s="323" customFormat="1" ht="15.6" x14ac:dyDescent="0.3">
      <c r="B94" s="324"/>
      <c r="L94" s="325"/>
    </row>
    <row r="95" spans="2:12" s="323" customFormat="1" ht="15.6" x14ac:dyDescent="0.3">
      <c r="B95" s="324"/>
      <c r="L95" s="325"/>
    </row>
    <row r="96" spans="2:12" s="323" customFormat="1" ht="15.6" x14ac:dyDescent="0.3">
      <c r="B96" s="324"/>
      <c r="L96" s="325"/>
    </row>
    <row r="97" spans="2:12" s="323" customFormat="1" ht="15.6" x14ac:dyDescent="0.3">
      <c r="B97" s="324"/>
      <c r="L97" s="325"/>
    </row>
    <row r="98" spans="2:12" s="323" customFormat="1" ht="15.6" x14ac:dyDescent="0.3">
      <c r="B98" s="324"/>
      <c r="L98" s="325"/>
    </row>
    <row r="99" spans="2:12" s="323" customFormat="1" ht="15.6" x14ac:dyDescent="0.3">
      <c r="B99" s="324"/>
      <c r="L99" s="325"/>
    </row>
    <row r="100" spans="2:12" s="323" customFormat="1" ht="15.6" x14ac:dyDescent="0.3">
      <c r="B100" s="324"/>
      <c r="L100" s="325"/>
    </row>
    <row r="101" spans="2:12" s="323" customFormat="1" ht="15.6" x14ac:dyDescent="0.3">
      <c r="B101" s="324"/>
      <c r="L101" s="325"/>
    </row>
    <row r="102" spans="2:12" s="323" customFormat="1" ht="15.6" x14ac:dyDescent="0.3">
      <c r="B102" s="324"/>
      <c r="L102" s="325"/>
    </row>
    <row r="103" spans="2:12" s="323" customFormat="1" ht="15.6" x14ac:dyDescent="0.3">
      <c r="B103" s="324"/>
      <c r="L103" s="325"/>
    </row>
    <row r="104" spans="2:12" s="323" customFormat="1" ht="15.6" x14ac:dyDescent="0.3">
      <c r="B104" s="324"/>
      <c r="L104" s="325"/>
    </row>
    <row r="105" spans="2:12" s="323" customFormat="1" ht="15.6" x14ac:dyDescent="0.3">
      <c r="B105" s="324"/>
      <c r="L105" s="325"/>
    </row>
    <row r="106" spans="2:12" s="323" customFormat="1" ht="15.6" x14ac:dyDescent="0.3">
      <c r="B106" s="324"/>
      <c r="L106" s="325"/>
    </row>
    <row r="107" spans="2:12" s="323" customFormat="1" ht="15.6" x14ac:dyDescent="0.3">
      <c r="B107" s="324"/>
      <c r="L107" s="325"/>
    </row>
    <row r="108" spans="2:12" s="323" customFormat="1" ht="15.6" x14ac:dyDescent="0.3">
      <c r="B108" s="324"/>
      <c r="L108" s="325"/>
    </row>
    <row r="109" spans="2:12" s="323" customFormat="1" ht="15.6" x14ac:dyDescent="0.3">
      <c r="B109" s="324"/>
      <c r="L109" s="325"/>
    </row>
    <row r="110" spans="2:12" s="323" customFormat="1" ht="15.6" x14ac:dyDescent="0.3">
      <c r="B110" s="324"/>
      <c r="L110" s="325"/>
    </row>
    <row r="111" spans="2:12" s="323" customFormat="1" ht="15.6" x14ac:dyDescent="0.3">
      <c r="B111" s="324"/>
      <c r="L111" s="325"/>
    </row>
    <row r="112" spans="2:12" s="323" customFormat="1" ht="15.6" x14ac:dyDescent="0.3">
      <c r="B112" s="324"/>
      <c r="L112" s="325"/>
    </row>
    <row r="113" spans="2:12" s="323" customFormat="1" ht="15.6" x14ac:dyDescent="0.3">
      <c r="B113" s="324"/>
      <c r="L113" s="325"/>
    </row>
    <row r="114" spans="2:12" s="362" customFormat="1" ht="25.8" x14ac:dyDescent="0.5">
      <c r="B114" s="209"/>
      <c r="L114" s="363"/>
    </row>
    <row r="115" spans="2:12" s="362" customFormat="1" ht="25.8" x14ac:dyDescent="0.5">
      <c r="B115" s="209"/>
      <c r="L115" s="363"/>
    </row>
    <row r="116" spans="2:12" s="362" customFormat="1" ht="25.8" x14ac:dyDescent="0.5">
      <c r="B116" s="209"/>
      <c r="L116" s="363"/>
    </row>
    <row r="117" spans="2:12" s="362" customFormat="1" ht="25.8" x14ac:dyDescent="0.5">
      <c r="B117" s="209"/>
      <c r="L117" s="363"/>
    </row>
    <row r="118" spans="2:12" s="362" customFormat="1" ht="25.8" x14ac:dyDescent="0.5">
      <c r="B118" s="209"/>
      <c r="L118" s="363"/>
    </row>
    <row r="119" spans="2:12" s="362" customFormat="1" ht="25.8" x14ac:dyDescent="0.5">
      <c r="B119" s="209"/>
      <c r="L119" s="363"/>
    </row>
    <row r="120" spans="2:12" s="362" customFormat="1" ht="25.8" x14ac:dyDescent="0.5">
      <c r="B120" s="209"/>
      <c r="L120" s="363"/>
    </row>
    <row r="121" spans="2:12" s="362" customFormat="1" ht="25.8" x14ac:dyDescent="0.5">
      <c r="B121" s="209"/>
      <c r="L121" s="363"/>
    </row>
    <row r="122" spans="2:12" s="362" customFormat="1" ht="25.8" x14ac:dyDescent="0.5">
      <c r="B122" s="209"/>
      <c r="L122" s="363"/>
    </row>
    <row r="123" spans="2:12" s="362" customFormat="1" ht="25.8" x14ac:dyDescent="0.5">
      <c r="B123" s="209"/>
      <c r="L123" s="363"/>
    </row>
    <row r="124" spans="2:12" s="362" customFormat="1" ht="25.8" x14ac:dyDescent="0.5">
      <c r="B124" s="209"/>
      <c r="L124" s="363"/>
    </row>
    <row r="125" spans="2:12" s="362" customFormat="1" ht="25.8" x14ac:dyDescent="0.5">
      <c r="B125" s="209"/>
      <c r="L125" s="363"/>
    </row>
    <row r="126" spans="2:12" s="362" customFormat="1" ht="25.8" x14ac:dyDescent="0.5">
      <c r="B126" s="209"/>
      <c r="L126" s="363"/>
    </row>
    <row r="127" spans="2:12" s="362" customFormat="1" ht="25.8" x14ac:dyDescent="0.5">
      <c r="B127" s="209"/>
      <c r="L127" s="363"/>
    </row>
    <row r="128" spans="2:12" s="362" customFormat="1" ht="25.8" x14ac:dyDescent="0.5">
      <c r="B128" s="209"/>
      <c r="L128" s="363"/>
    </row>
    <row r="129" spans="2:12" s="362" customFormat="1" ht="25.8" x14ac:dyDescent="0.5">
      <c r="B129" s="209"/>
      <c r="L129" s="363"/>
    </row>
    <row r="130" spans="2:12" s="362" customFormat="1" ht="25.8" x14ac:dyDescent="0.5">
      <c r="B130" s="209"/>
      <c r="L130" s="363"/>
    </row>
    <row r="131" spans="2:12" s="362" customFormat="1" ht="25.8" x14ac:dyDescent="0.5">
      <c r="B131" s="209"/>
      <c r="L131" s="363"/>
    </row>
    <row r="132" spans="2:12" s="362" customFormat="1" ht="25.8" x14ac:dyDescent="0.5">
      <c r="B132" s="209"/>
      <c r="L132" s="363"/>
    </row>
    <row r="133" spans="2:12" s="362" customFormat="1" ht="25.8" x14ac:dyDescent="0.5">
      <c r="B133" s="209"/>
      <c r="L133" s="363"/>
    </row>
    <row r="134" spans="2:12" s="362" customFormat="1" ht="25.8" x14ac:dyDescent="0.5">
      <c r="B134" s="209"/>
      <c r="L134" s="363"/>
    </row>
    <row r="135" spans="2:12" s="362" customFormat="1" ht="25.8" x14ac:dyDescent="0.5">
      <c r="B135" s="209"/>
      <c r="L135" s="363"/>
    </row>
    <row r="136" spans="2:12" s="362" customFormat="1" ht="25.8" x14ac:dyDescent="0.5">
      <c r="B136" s="209"/>
      <c r="L136" s="363"/>
    </row>
    <row r="137" spans="2:12" s="362" customFormat="1" ht="25.8" x14ac:dyDescent="0.5">
      <c r="B137" s="209"/>
      <c r="L137" s="363"/>
    </row>
    <row r="138" spans="2:12" s="362" customFormat="1" ht="25.8" x14ac:dyDescent="0.5">
      <c r="B138" s="209"/>
      <c r="L138" s="363"/>
    </row>
    <row r="139" spans="2:12" s="362" customFormat="1" ht="25.8" x14ac:dyDescent="0.5">
      <c r="B139" s="209"/>
      <c r="L139" s="363"/>
    </row>
    <row r="140" spans="2:12" s="362" customFormat="1" ht="25.8" x14ac:dyDescent="0.5">
      <c r="B140" s="209"/>
      <c r="L140" s="363"/>
    </row>
    <row r="141" spans="2:12" s="362" customFormat="1" ht="25.8" x14ac:dyDescent="0.5">
      <c r="B141" s="209"/>
      <c r="L141" s="363"/>
    </row>
    <row r="142" spans="2:12" s="362" customFormat="1" ht="25.8" x14ac:dyDescent="0.5">
      <c r="B142" s="209"/>
      <c r="L142" s="363"/>
    </row>
    <row r="143" spans="2:12" s="362" customFormat="1" ht="25.8" x14ac:dyDescent="0.5">
      <c r="B143" s="209"/>
      <c r="L143" s="363"/>
    </row>
    <row r="144" spans="2:12" s="362" customFormat="1" ht="25.8" x14ac:dyDescent="0.5">
      <c r="B144" s="209"/>
      <c r="L144" s="363"/>
    </row>
    <row r="145" spans="2:12" s="362" customFormat="1" ht="25.8" x14ac:dyDescent="0.5">
      <c r="B145" s="209"/>
      <c r="L145" s="363"/>
    </row>
    <row r="146" spans="2:12" s="362" customFormat="1" ht="25.8" x14ac:dyDescent="0.5">
      <c r="B146" s="209"/>
      <c r="L146" s="363"/>
    </row>
    <row r="147" spans="2:12" s="362" customFormat="1" ht="25.8" x14ac:dyDescent="0.5">
      <c r="B147" s="209"/>
      <c r="L147" s="363"/>
    </row>
    <row r="148" spans="2:12" s="362" customFormat="1" ht="25.8" x14ac:dyDescent="0.5">
      <c r="B148" s="209"/>
      <c r="L148" s="363"/>
    </row>
    <row r="149" spans="2:12" s="362" customFormat="1" ht="25.8" x14ac:dyDescent="0.5">
      <c r="B149" s="209"/>
      <c r="L149" s="363"/>
    </row>
    <row r="150" spans="2:12" s="362" customFormat="1" ht="25.8" x14ac:dyDescent="0.5">
      <c r="B150" s="209"/>
      <c r="L150" s="363"/>
    </row>
    <row r="151" spans="2:12" s="362" customFormat="1" ht="25.8" x14ac:dyDescent="0.5">
      <c r="B151" s="209"/>
      <c r="L151" s="363"/>
    </row>
    <row r="152" spans="2:12" s="362" customFormat="1" ht="25.8" x14ac:dyDescent="0.5">
      <c r="B152" s="209"/>
      <c r="L152" s="363"/>
    </row>
    <row r="153" spans="2:12" s="362" customFormat="1" ht="25.8" x14ac:dyDescent="0.5">
      <c r="B153" s="209"/>
      <c r="L153" s="363"/>
    </row>
    <row r="154" spans="2:12" s="362" customFormat="1" ht="25.8" x14ac:dyDescent="0.5">
      <c r="B154" s="209"/>
      <c r="L154" s="363"/>
    </row>
    <row r="155" spans="2:12" s="362" customFormat="1" ht="25.8" x14ac:dyDescent="0.5">
      <c r="B155" s="209"/>
      <c r="L155" s="363"/>
    </row>
    <row r="156" spans="2:12" s="362" customFormat="1" ht="25.8" x14ac:dyDescent="0.5">
      <c r="B156" s="209"/>
      <c r="L156" s="363"/>
    </row>
    <row r="157" spans="2:12" s="362" customFormat="1" ht="25.8" x14ac:dyDescent="0.5">
      <c r="B157" s="209"/>
      <c r="L157" s="363"/>
    </row>
    <row r="158" spans="2:12" s="362" customFormat="1" ht="25.8" x14ac:dyDescent="0.5">
      <c r="B158" s="209"/>
      <c r="L158" s="363"/>
    </row>
    <row r="159" spans="2:12" s="362" customFormat="1" ht="25.8" x14ac:dyDescent="0.5">
      <c r="B159" s="209"/>
      <c r="L159" s="363"/>
    </row>
    <row r="160" spans="2:12" s="362" customFormat="1" ht="25.8" x14ac:dyDescent="0.5">
      <c r="B160" s="209"/>
      <c r="L160" s="363"/>
    </row>
    <row r="161" spans="2:12" s="362" customFormat="1" ht="25.8" x14ac:dyDescent="0.5">
      <c r="B161" s="209"/>
      <c r="L161" s="363"/>
    </row>
    <row r="162" spans="2:12" s="362" customFormat="1" ht="25.8" x14ac:dyDescent="0.5">
      <c r="B162" s="209"/>
      <c r="L162" s="363"/>
    </row>
    <row r="163" spans="2:12" s="362" customFormat="1" ht="25.8" x14ac:dyDescent="0.5">
      <c r="B163" s="209"/>
      <c r="L163" s="363"/>
    </row>
    <row r="164" spans="2:12" s="362" customFormat="1" ht="25.8" x14ac:dyDescent="0.5">
      <c r="B164" s="209"/>
      <c r="L164" s="363"/>
    </row>
    <row r="165" spans="2:12" s="362" customFormat="1" ht="25.8" x14ac:dyDescent="0.5">
      <c r="B165" s="209"/>
      <c r="L165" s="363"/>
    </row>
    <row r="166" spans="2:12" s="362" customFormat="1" ht="25.8" x14ac:dyDescent="0.5">
      <c r="B166" s="209"/>
      <c r="L166" s="363"/>
    </row>
    <row r="167" spans="2:12" s="362" customFormat="1" ht="25.8" x14ac:dyDescent="0.5">
      <c r="B167" s="209"/>
      <c r="L167" s="363"/>
    </row>
    <row r="168" spans="2:12" s="362" customFormat="1" ht="25.8" x14ac:dyDescent="0.5">
      <c r="B168" s="209"/>
      <c r="L168" s="363"/>
    </row>
    <row r="169" spans="2:12" s="362" customFormat="1" ht="25.8" x14ac:dyDescent="0.5">
      <c r="B169" s="209"/>
      <c r="L169" s="363"/>
    </row>
  </sheetData>
  <mergeCells count="2">
    <mergeCell ref="B3:L3"/>
    <mergeCell ref="B4:L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showGridLines="0" workbookViewId="0">
      <selection activeCell="I26" sqref="I25:I26"/>
    </sheetView>
  </sheetViews>
  <sheetFormatPr defaultColWidth="9.109375" defaultRowHeight="15.6" x14ac:dyDescent="0.3"/>
  <cols>
    <col min="1" max="5" width="9.109375" style="317"/>
    <col min="6" max="6" width="10.88671875" style="317" customWidth="1"/>
    <col min="7" max="16384" width="9.109375" style="317"/>
  </cols>
  <sheetData>
    <row r="1" spans="1:13" ht="31.2" x14ac:dyDescent="0.6">
      <c r="A1" s="208" t="s">
        <v>1764</v>
      </c>
      <c r="B1" s="209"/>
      <c r="C1" s="210"/>
      <c r="D1" s="210"/>
      <c r="F1" s="210"/>
      <c r="G1" s="210"/>
      <c r="M1" s="635" t="s">
        <v>3016</v>
      </c>
    </row>
    <row r="3" spans="1:13" x14ac:dyDescent="0.3">
      <c r="C3" s="318" t="s">
        <v>1766</v>
      </c>
    </row>
    <row r="4" spans="1:13" x14ac:dyDescent="0.3">
      <c r="C4" s="317">
        <v>5.1111000000000004</v>
      </c>
      <c r="F4" s="320">
        <f t="shared" ref="F4:F9" si="0">ROUNDDOWN($C4,1)</f>
        <v>5.0999999999999996</v>
      </c>
      <c r="G4" s="320">
        <f t="shared" ref="G4:G9" si="1">ROUNDDOWN($C4,2)</f>
        <v>5.1100000000000003</v>
      </c>
      <c r="H4" s="320">
        <f t="shared" ref="H4:H9" si="2">ROUNDDOWN($C4,3)</f>
        <v>5.1109999999999998</v>
      </c>
      <c r="I4" s="320">
        <f t="shared" ref="I4:I9" si="3">ROUNDDOWN($C4,4)</f>
        <v>5.1111000000000004</v>
      </c>
    </row>
    <row r="5" spans="1:13" x14ac:dyDescent="0.3">
      <c r="C5" s="317">
        <v>5.2222</v>
      </c>
      <c r="F5" s="320">
        <f t="shared" si="0"/>
        <v>5.2</v>
      </c>
      <c r="G5" s="320">
        <f t="shared" si="1"/>
        <v>5.22</v>
      </c>
      <c r="H5" s="320">
        <f t="shared" si="2"/>
        <v>5.2220000000000004</v>
      </c>
      <c r="I5" s="320">
        <f t="shared" si="3"/>
        <v>5.2222</v>
      </c>
    </row>
    <row r="6" spans="1:13" x14ac:dyDescent="0.3">
      <c r="C6" s="317">
        <v>5.3333000000000004</v>
      </c>
      <c r="F6" s="320">
        <f t="shared" si="0"/>
        <v>5.3</v>
      </c>
      <c r="G6" s="320">
        <f t="shared" si="1"/>
        <v>5.33</v>
      </c>
      <c r="H6" s="320">
        <f t="shared" si="2"/>
        <v>5.3330000000000002</v>
      </c>
      <c r="I6" s="320">
        <f t="shared" si="3"/>
        <v>5.3333000000000004</v>
      </c>
    </row>
    <row r="7" spans="1:13" x14ac:dyDescent="0.3">
      <c r="C7" s="317">
        <v>5.4443999999999999</v>
      </c>
      <c r="F7" s="320">
        <f t="shared" si="0"/>
        <v>5.4</v>
      </c>
      <c r="G7" s="320">
        <f t="shared" si="1"/>
        <v>5.44</v>
      </c>
      <c r="H7" s="320">
        <f t="shared" si="2"/>
        <v>5.444</v>
      </c>
      <c r="I7" s="320">
        <f t="shared" si="3"/>
        <v>5.4443999999999999</v>
      </c>
    </row>
    <row r="8" spans="1:13" x14ac:dyDescent="0.3">
      <c r="C8" s="319">
        <v>5.5555000000000003</v>
      </c>
      <c r="D8" s="319"/>
      <c r="E8" s="319"/>
      <c r="F8" s="321">
        <f t="shared" si="0"/>
        <v>5.5</v>
      </c>
      <c r="G8" s="321">
        <f t="shared" si="1"/>
        <v>5.55</v>
      </c>
      <c r="H8" s="321">
        <f t="shared" si="2"/>
        <v>5.5549999999999997</v>
      </c>
      <c r="I8" s="321">
        <f t="shared" si="3"/>
        <v>5.5555000000000003</v>
      </c>
    </row>
    <row r="9" spans="1:13" x14ac:dyDescent="0.3">
      <c r="C9" s="317">
        <v>5.6665999999999999</v>
      </c>
      <c r="F9" s="320">
        <f t="shared" si="0"/>
        <v>5.6</v>
      </c>
      <c r="G9" s="320">
        <f t="shared" si="1"/>
        <v>5.66</v>
      </c>
      <c r="H9" s="320">
        <f t="shared" si="2"/>
        <v>5.6660000000000004</v>
      </c>
      <c r="I9" s="320">
        <f t="shared" si="3"/>
        <v>5.6665999999999999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2"/>
  <sheetViews>
    <sheetView showGridLines="0" zoomScale="90" zoomScaleNormal="90" workbookViewId="0">
      <selection activeCell="D32" sqref="D32"/>
    </sheetView>
  </sheetViews>
  <sheetFormatPr defaultColWidth="9.109375" defaultRowHeight="14.4" x14ac:dyDescent="0.3"/>
  <cols>
    <col min="1" max="1" width="9.109375" style="511"/>
    <col min="2" max="2" width="33.88671875" style="511" customWidth="1"/>
    <col min="3" max="4" width="12.88671875" style="418" customWidth="1"/>
    <col min="5" max="5" width="20.33203125" style="511" customWidth="1"/>
    <col min="6" max="7" width="9.109375" style="511"/>
    <col min="8" max="8" width="9.109375" style="516"/>
    <col min="9" max="16384" width="9.109375" style="511"/>
  </cols>
  <sheetData>
    <row r="1" spans="2:8" x14ac:dyDescent="0.3">
      <c r="E1" s="633" t="s">
        <v>2049</v>
      </c>
    </row>
    <row r="2" spans="2:8" ht="15" customHeight="1" x14ac:dyDescent="0.3">
      <c r="B2" s="573" t="s">
        <v>574</v>
      </c>
      <c r="C2" s="574"/>
      <c r="D2" s="574"/>
      <c r="E2" s="575"/>
      <c r="F2" s="575"/>
      <c r="G2" s="576"/>
      <c r="H2" s="510"/>
    </row>
    <row r="3" spans="2:8" ht="15" customHeight="1" x14ac:dyDescent="0.3">
      <c r="B3" s="577"/>
      <c r="C3" s="578" t="s">
        <v>571</v>
      </c>
      <c r="D3" s="578" t="s">
        <v>572</v>
      </c>
      <c r="E3" s="579"/>
      <c r="F3" s="579"/>
      <c r="G3" s="580"/>
      <c r="H3" s="510"/>
    </row>
    <row r="4" spans="2:8" ht="15" customHeight="1" x14ac:dyDescent="0.3">
      <c r="B4" s="581" t="s">
        <v>570</v>
      </c>
      <c r="C4" s="582">
        <v>2300</v>
      </c>
      <c r="D4" s="582">
        <v>2492.4299999999998</v>
      </c>
      <c r="E4" s="579" t="str">
        <f>IF(D4&gt;C4,"Over Budget","")</f>
        <v>Over Budget</v>
      </c>
      <c r="F4" s="579"/>
      <c r="G4" s="580"/>
      <c r="H4" s="510"/>
    </row>
    <row r="5" spans="2:8" ht="15" customHeight="1" x14ac:dyDescent="0.3">
      <c r="B5" s="583"/>
      <c r="C5" s="584"/>
      <c r="D5" s="584"/>
      <c r="E5" s="585"/>
      <c r="F5" s="585"/>
      <c r="G5" s="586"/>
      <c r="H5" s="510"/>
    </row>
    <row r="6" spans="2:8" ht="15" customHeight="1" x14ac:dyDescent="0.3"/>
    <row r="7" spans="2:8" ht="15" customHeight="1" x14ac:dyDescent="0.3">
      <c r="B7" s="587" t="s">
        <v>573</v>
      </c>
      <c r="C7" s="588"/>
      <c r="D7" s="588"/>
      <c r="E7" s="589"/>
      <c r="F7" s="589"/>
      <c r="G7" s="590"/>
      <c r="H7" s="510"/>
    </row>
    <row r="8" spans="2:8" ht="15" customHeight="1" x14ac:dyDescent="0.3">
      <c r="B8" s="591"/>
      <c r="C8" s="592" t="s">
        <v>571</v>
      </c>
      <c r="D8" s="592" t="s">
        <v>572</v>
      </c>
      <c r="E8" s="593"/>
      <c r="F8" s="593"/>
      <c r="G8" s="594"/>
      <c r="H8" s="510"/>
    </row>
    <row r="9" spans="2:8" ht="15" customHeight="1" x14ac:dyDescent="0.3">
      <c r="B9" s="595" t="s">
        <v>570</v>
      </c>
      <c r="C9" s="596">
        <v>2300</v>
      </c>
      <c r="D9" s="596">
        <v>2492.4299999999998</v>
      </c>
      <c r="E9" s="593" t="str">
        <f>IF(D9&gt;C9,"Over Budget by $"&amp;D9-C9,"")</f>
        <v>Over Budget by $192.43</v>
      </c>
      <c r="F9" s="593"/>
      <c r="G9" s="594"/>
      <c r="H9" s="510"/>
    </row>
    <row r="10" spans="2:8" ht="15" customHeight="1" x14ac:dyDescent="0.3">
      <c r="B10" s="597"/>
      <c r="C10" s="598"/>
      <c r="D10" s="598"/>
      <c r="E10" s="599"/>
      <c r="F10" s="599"/>
      <c r="G10" s="600"/>
      <c r="H10" s="510"/>
    </row>
    <row r="11" spans="2:8" ht="15" customHeight="1" x14ac:dyDescent="0.3"/>
    <row r="12" spans="2:8" ht="15" customHeight="1" x14ac:dyDescent="0.3">
      <c r="B12" s="601" t="s">
        <v>593</v>
      </c>
      <c r="C12" s="602"/>
      <c r="D12" s="602"/>
      <c r="E12" s="603"/>
      <c r="F12" s="603"/>
      <c r="G12" s="604"/>
      <c r="H12" s="510"/>
    </row>
    <row r="13" spans="2:8" ht="15" customHeight="1" x14ac:dyDescent="0.3">
      <c r="B13" s="605"/>
      <c r="C13" s="606" t="s">
        <v>571</v>
      </c>
      <c r="D13" s="606" t="s">
        <v>572</v>
      </c>
      <c r="E13" s="607"/>
      <c r="F13" s="607"/>
      <c r="G13" s="608"/>
      <c r="H13" s="510"/>
    </row>
    <row r="14" spans="2:8" ht="15" customHeight="1" x14ac:dyDescent="0.3">
      <c r="B14" s="609" t="s">
        <v>575</v>
      </c>
      <c r="C14" s="610">
        <v>2139.5500000000002</v>
      </c>
      <c r="D14" s="611">
        <v>2674.44</v>
      </c>
      <c r="E14" s="607" t="str">
        <f t="shared" ref="E14:E31" si="0">IF(D14&gt;C14,"Over Budget by $"&amp;D14-C14,"")</f>
        <v>Over Budget by $534.89</v>
      </c>
      <c r="F14" s="607"/>
      <c r="G14" s="608"/>
      <c r="H14" s="510"/>
    </row>
    <row r="15" spans="2:8" ht="15" customHeight="1" x14ac:dyDescent="0.3">
      <c r="B15" s="609" t="s">
        <v>576</v>
      </c>
      <c r="C15" s="610">
        <v>37.340000000000003</v>
      </c>
      <c r="D15" s="611">
        <v>48.54</v>
      </c>
      <c r="E15" s="607" t="str">
        <f t="shared" si="0"/>
        <v>Over Budget by $11.2</v>
      </c>
      <c r="F15" s="607"/>
      <c r="G15" s="608"/>
      <c r="H15" s="510"/>
    </row>
    <row r="16" spans="2:8" x14ac:dyDescent="0.3">
      <c r="B16" s="609" t="s">
        <v>577</v>
      </c>
      <c r="C16" s="610">
        <v>750</v>
      </c>
      <c r="D16" s="611">
        <v>500</v>
      </c>
      <c r="E16" s="607" t="str">
        <f t="shared" si="0"/>
        <v/>
      </c>
      <c r="F16" s="607"/>
      <c r="G16" s="608"/>
      <c r="H16" s="510"/>
    </row>
    <row r="17" spans="2:8" x14ac:dyDescent="0.3">
      <c r="B17" s="609" t="s">
        <v>578</v>
      </c>
      <c r="C17" s="610">
        <v>26654.799999999999</v>
      </c>
      <c r="D17" s="611">
        <v>34651.24</v>
      </c>
      <c r="E17" s="607" t="str">
        <f t="shared" si="0"/>
        <v>Over Budget by $7996.44</v>
      </c>
      <c r="F17" s="607"/>
      <c r="G17" s="608"/>
      <c r="H17" s="510"/>
    </row>
    <row r="18" spans="2:8" x14ac:dyDescent="0.3">
      <c r="B18" s="609" t="s">
        <v>579</v>
      </c>
      <c r="C18" s="610">
        <v>1282.53</v>
      </c>
      <c r="D18" s="611">
        <v>1603.16</v>
      </c>
      <c r="E18" s="607" t="str">
        <f t="shared" si="0"/>
        <v>Over Budget by $320.63</v>
      </c>
      <c r="F18" s="607"/>
      <c r="G18" s="608"/>
      <c r="H18" s="510"/>
    </row>
    <row r="19" spans="2:8" x14ac:dyDescent="0.3">
      <c r="B19" s="609" t="s">
        <v>580</v>
      </c>
      <c r="C19" s="610">
        <v>6051.13</v>
      </c>
      <c r="D19" s="611">
        <v>7866.47</v>
      </c>
      <c r="E19" s="607" t="str">
        <f t="shared" si="0"/>
        <v>Over Budget by $1815.34</v>
      </c>
      <c r="F19" s="607"/>
      <c r="G19" s="608"/>
      <c r="H19" s="510"/>
    </row>
    <row r="20" spans="2:8" x14ac:dyDescent="0.3">
      <c r="B20" s="609" t="s">
        <v>581</v>
      </c>
      <c r="C20" s="610">
        <v>1235.8699999999999</v>
      </c>
      <c r="D20" s="611">
        <v>1544.84</v>
      </c>
      <c r="E20" s="607" t="str">
        <f t="shared" si="0"/>
        <v>Over Budget by $308.97</v>
      </c>
      <c r="F20" s="607"/>
      <c r="G20" s="608"/>
      <c r="H20" s="510"/>
    </row>
    <row r="21" spans="2:8" x14ac:dyDescent="0.3">
      <c r="B21" s="609" t="s">
        <v>582</v>
      </c>
      <c r="C21" s="610">
        <v>124.5</v>
      </c>
      <c r="D21" s="611">
        <v>85.03</v>
      </c>
      <c r="E21" s="607" t="str">
        <f t="shared" si="0"/>
        <v/>
      </c>
      <c r="F21" s="607"/>
      <c r="G21" s="608"/>
      <c r="H21" s="510"/>
    </row>
    <row r="22" spans="2:8" x14ac:dyDescent="0.3">
      <c r="B22" s="609" t="s">
        <v>583</v>
      </c>
      <c r="C22" s="610">
        <v>3950.05</v>
      </c>
      <c r="D22" s="611">
        <v>4937.5600000000004</v>
      </c>
      <c r="E22" s="607" t="str">
        <f t="shared" si="0"/>
        <v>Over Budget by $987.51</v>
      </c>
      <c r="F22" s="607"/>
      <c r="G22" s="608"/>
      <c r="H22" s="510"/>
    </row>
    <row r="23" spans="2:8" x14ac:dyDescent="0.3">
      <c r="B23" s="609" t="s">
        <v>584</v>
      </c>
      <c r="C23" s="610">
        <v>11697</v>
      </c>
      <c r="D23" s="611">
        <v>15206.1</v>
      </c>
      <c r="E23" s="607" t="str">
        <f t="shared" si="0"/>
        <v>Over Budget by $3509.1</v>
      </c>
      <c r="F23" s="607"/>
      <c r="G23" s="608"/>
      <c r="H23" s="510"/>
    </row>
    <row r="24" spans="2:8" x14ac:dyDescent="0.3">
      <c r="B24" s="609" t="s">
        <v>585</v>
      </c>
      <c r="C24" s="610">
        <v>1876.7</v>
      </c>
      <c r="D24" s="611">
        <v>1481.09</v>
      </c>
      <c r="E24" s="607" t="str">
        <f t="shared" si="0"/>
        <v/>
      </c>
      <c r="F24" s="607"/>
      <c r="G24" s="608"/>
      <c r="H24" s="510"/>
    </row>
    <row r="25" spans="2:8" x14ac:dyDescent="0.3">
      <c r="B25" s="609" t="s">
        <v>586</v>
      </c>
      <c r="C25" s="610">
        <v>90</v>
      </c>
      <c r="D25" s="611">
        <v>117</v>
      </c>
      <c r="E25" s="607" t="str">
        <f t="shared" si="0"/>
        <v>Over Budget by $27</v>
      </c>
      <c r="F25" s="607"/>
      <c r="G25" s="608"/>
      <c r="H25" s="510"/>
    </row>
    <row r="26" spans="2:8" x14ac:dyDescent="0.3">
      <c r="B26" s="609" t="s">
        <v>587</v>
      </c>
      <c r="C26" s="610">
        <v>21010.25</v>
      </c>
      <c r="D26" s="611">
        <v>26262.81</v>
      </c>
      <c r="E26" s="607" t="str">
        <f t="shared" si="0"/>
        <v>Over Budget by $5252.56</v>
      </c>
      <c r="F26" s="607"/>
      <c r="G26" s="608"/>
      <c r="H26" s="510"/>
    </row>
    <row r="27" spans="2:8" x14ac:dyDescent="0.3">
      <c r="B27" s="609" t="s">
        <v>588</v>
      </c>
      <c r="C27" s="610">
        <v>6861.83</v>
      </c>
      <c r="D27" s="611">
        <v>8920.3799999999992</v>
      </c>
      <c r="E27" s="607" t="str">
        <f t="shared" si="0"/>
        <v>Over Budget by $2058.55</v>
      </c>
      <c r="F27" s="607"/>
      <c r="G27" s="608"/>
      <c r="H27" s="510"/>
    </row>
    <row r="28" spans="2:8" x14ac:dyDescent="0.3">
      <c r="B28" s="609" t="s">
        <v>589</v>
      </c>
      <c r="C28" s="610">
        <v>5789.74</v>
      </c>
      <c r="D28" s="611">
        <v>7237.18</v>
      </c>
      <c r="E28" s="607" t="str">
        <f t="shared" si="0"/>
        <v>Over Budget by $1447.44</v>
      </c>
      <c r="F28" s="607"/>
      <c r="G28" s="608"/>
      <c r="H28" s="510"/>
    </row>
    <row r="29" spans="2:8" x14ac:dyDescent="0.3">
      <c r="B29" s="609" t="s">
        <v>590</v>
      </c>
      <c r="C29" s="610">
        <v>4563.21</v>
      </c>
      <c r="D29" s="611">
        <v>508.95</v>
      </c>
      <c r="E29" s="607" t="str">
        <f t="shared" si="0"/>
        <v/>
      </c>
      <c r="F29" s="607"/>
      <c r="G29" s="608"/>
      <c r="H29" s="510"/>
    </row>
    <row r="30" spans="2:8" x14ac:dyDescent="0.3">
      <c r="B30" s="609" t="s">
        <v>591</v>
      </c>
      <c r="C30" s="610">
        <v>172000</v>
      </c>
      <c r="D30" s="611">
        <v>215000</v>
      </c>
      <c r="E30" s="607" t="str">
        <f t="shared" si="0"/>
        <v>Over Budget by $43000</v>
      </c>
      <c r="F30" s="607"/>
      <c r="G30" s="608"/>
      <c r="H30" s="510"/>
    </row>
    <row r="31" spans="2:8" x14ac:dyDescent="0.3">
      <c r="B31" s="612" t="s">
        <v>592</v>
      </c>
      <c r="C31" s="613">
        <v>564.66999999999996</v>
      </c>
      <c r="D31" s="614">
        <v>655.43</v>
      </c>
      <c r="E31" s="615" t="str">
        <f t="shared" si="0"/>
        <v>Over Budget by $90.76</v>
      </c>
      <c r="F31" s="615"/>
      <c r="G31" s="616"/>
      <c r="H31" s="510"/>
    </row>
    <row r="40" spans="5:5" x14ac:dyDescent="0.3">
      <c r="E40" s="3"/>
    </row>
    <row r="51" spans="2:8" x14ac:dyDescent="0.3">
      <c r="B51" s="19"/>
    </row>
    <row r="52" spans="2:8" x14ac:dyDescent="0.3">
      <c r="B52" s="19"/>
    </row>
    <row r="53" spans="2:8" x14ac:dyDescent="0.3">
      <c r="B53" s="19"/>
    </row>
    <row r="54" spans="2:8" s="513" customFormat="1" ht="15" thickBot="1" x14ac:dyDescent="0.35">
      <c r="B54" s="617" t="s">
        <v>594</v>
      </c>
      <c r="C54" s="618" t="s">
        <v>329</v>
      </c>
      <c r="D54" s="619" t="s">
        <v>596</v>
      </c>
      <c r="H54" s="533"/>
    </row>
    <row r="55" spans="2:8" x14ac:dyDescent="0.3">
      <c r="B55" s="620" t="s">
        <v>600</v>
      </c>
      <c r="C55" s="621">
        <v>45</v>
      </c>
      <c r="D55" s="622" t="str">
        <f>IF(C55&gt;89,"A",IF(C55&gt;79,"B", IF(C55&gt;69,"C",IF(C55&gt;59,"D","F"))))</f>
        <v>F</v>
      </c>
    </row>
    <row r="56" spans="2:8" x14ac:dyDescent="0.3">
      <c r="B56" s="620" t="s">
        <v>595</v>
      </c>
      <c r="C56" s="621">
        <v>90</v>
      </c>
      <c r="D56" s="622" t="str">
        <f t="shared" ref="D56:D61" si="1">IF(C56&gt;89,"A",IF(C56&gt;79,"B", IF(C56&gt;69,"C",IF(C56&gt;59,"D","F"))))</f>
        <v>A</v>
      </c>
    </row>
    <row r="57" spans="2:8" ht="15.75" customHeight="1" x14ac:dyDescent="0.3">
      <c r="B57" s="620" t="s">
        <v>599</v>
      </c>
      <c r="C57" s="621">
        <v>78</v>
      </c>
      <c r="D57" s="622" t="str">
        <f t="shared" si="1"/>
        <v>C</v>
      </c>
    </row>
    <row r="58" spans="2:8" ht="15.75" customHeight="1" x14ac:dyDescent="0.3">
      <c r="B58" s="620" t="s">
        <v>597</v>
      </c>
      <c r="C58" s="623">
        <v>92</v>
      </c>
      <c r="D58" s="622" t="str">
        <f t="shared" si="1"/>
        <v>A</v>
      </c>
    </row>
    <row r="59" spans="2:8" ht="15.75" customHeight="1" x14ac:dyDescent="0.3">
      <c r="B59" s="620" t="s">
        <v>598</v>
      </c>
      <c r="C59" s="621">
        <v>95</v>
      </c>
      <c r="D59" s="622" t="str">
        <f t="shared" si="1"/>
        <v>A</v>
      </c>
    </row>
    <row r="60" spans="2:8" ht="15.75" customHeight="1" x14ac:dyDescent="0.3">
      <c r="B60" s="624" t="s">
        <v>601</v>
      </c>
      <c r="C60" s="621">
        <v>87</v>
      </c>
      <c r="D60" s="622" t="str">
        <f t="shared" si="1"/>
        <v>B</v>
      </c>
    </row>
    <row r="61" spans="2:8" ht="15.75" customHeight="1" x14ac:dyDescent="0.3">
      <c r="B61" s="625" t="s">
        <v>602</v>
      </c>
      <c r="C61" s="626">
        <v>62</v>
      </c>
      <c r="D61" s="627" t="str">
        <f t="shared" si="1"/>
        <v>D</v>
      </c>
    </row>
    <row r="62" spans="2:8" ht="15.75" customHeight="1" x14ac:dyDescent="0.3"/>
  </sheetData>
  <sheetProtection password="E09F" sheet="1" formatCells="0" formatColumns="0" formatRows="0" insertColumns="0" insertRows="0" insertHyperlinks="0" deleteColumns="0" deleteRows="0" sort="0" autoFilter="0" pivotTables="0"/>
  <autoFilter ref="B14:B31"/>
  <conditionalFormatting sqref="C14:D31 B15:B31">
    <cfRule type="expression" dxfId="13" priority="2" stopIfTrue="1">
      <formula>"istext(b3:i34)"</formula>
    </cfRule>
  </conditionalFormatting>
  <conditionalFormatting sqref="B14">
    <cfRule type="expression" dxfId="12" priority="1" stopIfTrue="1">
      <formula>"istext(b3)"</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showGridLines="0" workbookViewId="0">
      <selection activeCell="F4" sqref="F4"/>
    </sheetView>
  </sheetViews>
  <sheetFormatPr defaultColWidth="9.109375" defaultRowHeight="15.6" x14ac:dyDescent="0.3"/>
  <cols>
    <col min="1" max="5" width="9.109375" style="317"/>
    <col min="6" max="6" width="10.88671875" style="317" customWidth="1"/>
    <col min="7" max="16384" width="9.109375" style="317"/>
  </cols>
  <sheetData>
    <row r="1" spans="1:13" ht="31.2" x14ac:dyDescent="0.6">
      <c r="A1" s="316" t="s">
        <v>1767</v>
      </c>
      <c r="B1" s="209"/>
      <c r="C1" s="210"/>
      <c r="D1" s="210"/>
      <c r="F1" s="210"/>
      <c r="G1" s="210"/>
      <c r="M1" s="635" t="s">
        <v>3016</v>
      </c>
    </row>
    <row r="3" spans="1:13" x14ac:dyDescent="0.3">
      <c r="C3" s="318" t="s">
        <v>1765</v>
      </c>
    </row>
    <row r="4" spans="1:13" x14ac:dyDescent="0.3">
      <c r="C4" s="317">
        <v>5.1111000000000004</v>
      </c>
      <c r="F4" s="320">
        <f>ROUNDUP($C4,1)</f>
        <v>5.1999999999999993</v>
      </c>
      <c r="G4" s="320">
        <f>ROUNDUP($C4,2)</f>
        <v>5.12</v>
      </c>
      <c r="H4" s="320">
        <f>ROUNDUP($C4,3)</f>
        <v>5.1120000000000001</v>
      </c>
      <c r="I4" s="320">
        <f>ROUNDUP($C4,4)</f>
        <v>5.1111000000000004</v>
      </c>
    </row>
    <row r="5" spans="1:13" x14ac:dyDescent="0.3">
      <c r="C5" s="317">
        <v>5.2222</v>
      </c>
      <c r="F5" s="320">
        <f t="shared" ref="F5:F9" si="0">ROUNDUP($C5,1)</f>
        <v>5.3</v>
      </c>
      <c r="G5" s="320">
        <f t="shared" ref="G5:G9" si="1">ROUNDUP($C5,2)</f>
        <v>5.2299999999999995</v>
      </c>
      <c r="H5" s="320">
        <f t="shared" ref="H5:H9" si="2">ROUNDUP($C5,3)</f>
        <v>5.2230000000000008</v>
      </c>
      <c r="I5" s="320">
        <f t="shared" ref="I5:I9" si="3">ROUNDUP($C5,4)</f>
        <v>5.2222</v>
      </c>
    </row>
    <row r="6" spans="1:13" x14ac:dyDescent="0.3">
      <c r="C6" s="317">
        <v>5.3333000000000004</v>
      </c>
      <c r="F6" s="320">
        <f t="shared" si="0"/>
        <v>5.3999999999999995</v>
      </c>
      <c r="G6" s="320">
        <f t="shared" si="1"/>
        <v>5.34</v>
      </c>
      <c r="H6" s="320">
        <f t="shared" si="2"/>
        <v>5.3340000000000005</v>
      </c>
      <c r="I6" s="320">
        <f t="shared" si="3"/>
        <v>5.3333000000000004</v>
      </c>
    </row>
    <row r="7" spans="1:13" x14ac:dyDescent="0.3">
      <c r="C7" s="317">
        <v>5.4443999999999999</v>
      </c>
      <c r="F7" s="320">
        <f t="shared" si="0"/>
        <v>5.5</v>
      </c>
      <c r="G7" s="320">
        <f t="shared" si="1"/>
        <v>5.45</v>
      </c>
      <c r="H7" s="320">
        <f t="shared" si="2"/>
        <v>5.4450000000000003</v>
      </c>
      <c r="I7" s="320">
        <f t="shared" si="3"/>
        <v>5.4443999999999999</v>
      </c>
    </row>
    <row r="8" spans="1:13" x14ac:dyDescent="0.3">
      <c r="C8" s="319">
        <v>5.5555000000000003</v>
      </c>
      <c r="D8" s="319"/>
      <c r="E8" s="319"/>
      <c r="F8" s="321">
        <f t="shared" si="0"/>
        <v>5.6</v>
      </c>
      <c r="G8" s="321">
        <f t="shared" si="1"/>
        <v>5.56</v>
      </c>
      <c r="H8" s="321">
        <f t="shared" si="2"/>
        <v>5.556</v>
      </c>
      <c r="I8" s="321">
        <f t="shared" si="3"/>
        <v>5.5555000000000003</v>
      </c>
    </row>
    <row r="9" spans="1:13" x14ac:dyDescent="0.3">
      <c r="C9" s="317">
        <v>5.6665999999999999</v>
      </c>
      <c r="F9" s="320">
        <f t="shared" si="0"/>
        <v>5.6999999999999993</v>
      </c>
      <c r="G9" s="320">
        <f t="shared" si="1"/>
        <v>5.67</v>
      </c>
      <c r="H9" s="320">
        <f t="shared" si="2"/>
        <v>5.6670000000000007</v>
      </c>
      <c r="I9" s="320">
        <f t="shared" si="3"/>
        <v>5.6665999999999999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2"/>
  <sheetViews>
    <sheetView showGridLines="0" workbookViewId="0">
      <selection activeCell="F2" sqref="F2"/>
    </sheetView>
  </sheetViews>
  <sheetFormatPr defaultColWidth="9.109375" defaultRowHeight="24.6" x14ac:dyDescent="0.4"/>
  <cols>
    <col min="1" max="1" width="3.44140625" style="3" customWidth="1"/>
    <col min="2" max="2" width="10.6640625" style="114" bestFit="1" customWidth="1"/>
    <col min="3" max="3" width="9.44140625" style="3" bestFit="1" customWidth="1"/>
    <col min="4" max="4" width="11.6640625" style="3" bestFit="1" customWidth="1"/>
    <col min="5" max="5" width="12.109375" style="3" bestFit="1" customWidth="1"/>
    <col min="6" max="7" width="13.88671875" style="3" bestFit="1" customWidth="1"/>
    <col min="8" max="8" width="12.109375" style="3" bestFit="1" customWidth="1"/>
    <col min="9" max="9" width="10.88671875" style="3" bestFit="1" customWidth="1"/>
    <col min="10" max="10" width="8.109375" style="3" bestFit="1" customWidth="1"/>
    <col min="11" max="26" width="10.33203125" style="3" customWidth="1"/>
    <col min="27" max="29" width="10" style="3" customWidth="1"/>
    <col min="30" max="16384" width="9.109375" style="3"/>
  </cols>
  <sheetData>
    <row r="1" spans="1:12" ht="25.8" x14ac:dyDescent="0.5">
      <c r="A1" s="286" t="s">
        <v>1795</v>
      </c>
      <c r="I1" s="114"/>
      <c r="L1" s="633" t="s">
        <v>3016</v>
      </c>
    </row>
    <row r="2" spans="1:12" ht="25.2" x14ac:dyDescent="0.45">
      <c r="A2" s="19"/>
      <c r="B2" s="118"/>
      <c r="C2" s="176" t="s">
        <v>1796</v>
      </c>
      <c r="F2" s="295">
        <f t="shared" ref="F2:J2" si="0">MAX(F8:F75)</f>
        <v>1447185.6</v>
      </c>
      <c r="G2" s="295">
        <f t="shared" si="0"/>
        <v>1443556</v>
      </c>
      <c r="H2" s="295">
        <f>MAX(H8:H75)</f>
        <v>548108</v>
      </c>
      <c r="I2" s="296">
        <f t="shared" si="0"/>
        <v>0.754</v>
      </c>
      <c r="J2" s="295">
        <f t="shared" si="0"/>
        <v>13</v>
      </c>
    </row>
    <row r="3" spans="1:12" ht="15" customHeight="1" x14ac:dyDescent="0.4"/>
    <row r="4" spans="1:12" ht="17.399999999999999" x14ac:dyDescent="0.3">
      <c r="B4" s="119" t="s">
        <v>1770</v>
      </c>
      <c r="C4" s="120"/>
      <c r="D4" s="120"/>
      <c r="E4" s="120"/>
      <c r="F4" s="121"/>
      <c r="G4" s="121"/>
      <c r="H4" s="121"/>
      <c r="I4" s="120"/>
      <c r="J4" s="122"/>
    </row>
    <row r="5" spans="1:12" ht="17.399999999999999" x14ac:dyDescent="0.3">
      <c r="B5" s="274" t="s">
        <v>3012</v>
      </c>
      <c r="C5" s="124"/>
      <c r="D5" s="124"/>
      <c r="E5" s="124"/>
      <c r="F5" s="125"/>
      <c r="G5" s="125"/>
      <c r="H5" s="125"/>
      <c r="I5" s="124"/>
      <c r="J5" s="126"/>
    </row>
    <row r="6" spans="1:12" ht="17.399999999999999" hidden="1" x14ac:dyDescent="0.3">
      <c r="B6" s="127"/>
      <c r="C6" s="128"/>
      <c r="D6" s="128"/>
      <c r="E6" s="128"/>
      <c r="F6" s="129"/>
      <c r="G6" s="129"/>
      <c r="H6" s="129"/>
      <c r="I6" s="128"/>
    </row>
    <row r="7" spans="1:12" s="142" customFormat="1" ht="39" customHeight="1" thickBot="1" x14ac:dyDescent="0.35">
      <c r="B7" s="298" t="s">
        <v>1768</v>
      </c>
      <c r="C7" s="298" t="s">
        <v>176</v>
      </c>
      <c r="D7" s="298" t="s">
        <v>175</v>
      </c>
      <c r="E7" s="298" t="s">
        <v>264</v>
      </c>
      <c r="F7" s="299" t="s">
        <v>1771</v>
      </c>
      <c r="G7" s="299" t="s">
        <v>1772</v>
      </c>
      <c r="H7" s="300" t="s">
        <v>1773</v>
      </c>
      <c r="I7" s="301" t="s">
        <v>1774</v>
      </c>
      <c r="J7" s="301" t="s">
        <v>1775</v>
      </c>
    </row>
    <row r="8" spans="1:12" s="142" customFormat="1" ht="18" customHeight="1" x14ac:dyDescent="0.3">
      <c r="B8" s="164" t="s">
        <v>1769</v>
      </c>
      <c r="C8" s="164" t="s">
        <v>1776</v>
      </c>
      <c r="D8" s="164" t="s">
        <v>1777</v>
      </c>
      <c r="E8" s="164" t="s">
        <v>1779</v>
      </c>
      <c r="F8" s="302">
        <v>154275.84</v>
      </c>
      <c r="G8" s="302">
        <v>143476.5312</v>
      </c>
      <c r="H8" s="302">
        <f t="shared" ref="H8:H39" si="1">F8-G8</f>
        <v>10799.308799999999</v>
      </c>
      <c r="I8" s="303">
        <v>0.64300000000000002</v>
      </c>
      <c r="J8" s="304">
        <v>9</v>
      </c>
    </row>
    <row r="9" spans="1:12" s="142" customFormat="1" ht="18" customHeight="1" x14ac:dyDescent="0.3">
      <c r="B9" s="164" t="s">
        <v>1769</v>
      </c>
      <c r="C9" s="164" t="s">
        <v>1776</v>
      </c>
      <c r="D9" s="164" t="s">
        <v>1781</v>
      </c>
      <c r="E9" s="164" t="s">
        <v>1779</v>
      </c>
      <c r="F9" s="302">
        <v>57024</v>
      </c>
      <c r="G9" s="302">
        <v>54743.040000000001</v>
      </c>
      <c r="H9" s="302">
        <f t="shared" si="1"/>
        <v>2280.9599999999991</v>
      </c>
      <c r="I9" s="303">
        <v>0.59199999999999997</v>
      </c>
      <c r="J9" s="304">
        <v>8</v>
      </c>
    </row>
    <row r="10" spans="1:12" s="142" customFormat="1" ht="18" customHeight="1" x14ac:dyDescent="0.3">
      <c r="B10" s="164" t="s">
        <v>1769</v>
      </c>
      <c r="C10" s="164" t="s">
        <v>1776</v>
      </c>
      <c r="D10" s="164" t="s">
        <v>1781</v>
      </c>
      <c r="E10" s="164" t="s">
        <v>1779</v>
      </c>
      <c r="F10" s="302">
        <v>69465.600000000006</v>
      </c>
      <c r="G10" s="302">
        <v>66686.975999999995</v>
      </c>
      <c r="H10" s="302">
        <f t="shared" si="1"/>
        <v>2778.6240000000107</v>
      </c>
      <c r="I10" s="303">
        <v>0.41199999999999998</v>
      </c>
      <c r="J10" s="304">
        <v>9</v>
      </c>
    </row>
    <row r="11" spans="1:12" s="142" customFormat="1" ht="18" customHeight="1" x14ac:dyDescent="0.3">
      <c r="B11" s="164" t="s">
        <v>1769</v>
      </c>
      <c r="C11" s="164" t="s">
        <v>1776</v>
      </c>
      <c r="D11" s="164" t="s">
        <v>1777</v>
      </c>
      <c r="E11" s="164" t="s">
        <v>1779</v>
      </c>
      <c r="F11" s="302">
        <v>91463.039999999994</v>
      </c>
      <c r="G11" s="302">
        <v>72255.801599999992</v>
      </c>
      <c r="H11" s="302">
        <f t="shared" si="1"/>
        <v>19207.238400000002</v>
      </c>
      <c r="I11" s="303">
        <v>0.35599999999999998</v>
      </c>
      <c r="J11" s="304">
        <v>8</v>
      </c>
    </row>
    <row r="12" spans="1:12" s="142" customFormat="1" ht="18" customHeight="1" x14ac:dyDescent="0.3">
      <c r="B12" s="164" t="s">
        <v>1769</v>
      </c>
      <c r="C12" s="164" t="s">
        <v>1776</v>
      </c>
      <c r="D12" s="164" t="s">
        <v>1780</v>
      </c>
      <c r="E12" s="164" t="s">
        <v>1779</v>
      </c>
      <c r="F12" s="302">
        <v>94936.320000000007</v>
      </c>
      <c r="G12" s="302">
        <v>77847.782399999996</v>
      </c>
      <c r="H12" s="302">
        <f t="shared" si="1"/>
        <v>17088.537600000011</v>
      </c>
      <c r="I12" s="303">
        <v>0.52900000000000003</v>
      </c>
      <c r="J12" s="304">
        <v>9</v>
      </c>
    </row>
    <row r="13" spans="1:12" s="142" customFormat="1" ht="18" customHeight="1" x14ac:dyDescent="0.3">
      <c r="B13" s="164" t="s">
        <v>1769</v>
      </c>
      <c r="C13" s="164" t="s">
        <v>1776</v>
      </c>
      <c r="D13" s="164" t="s">
        <v>1777</v>
      </c>
      <c r="E13" s="164" t="s">
        <v>1778</v>
      </c>
      <c r="F13" s="302">
        <v>356040</v>
      </c>
      <c r="G13" s="302">
        <v>259909.2</v>
      </c>
      <c r="H13" s="302">
        <f t="shared" si="1"/>
        <v>96130.799999999988</v>
      </c>
      <c r="I13" s="303">
        <v>0.255</v>
      </c>
      <c r="J13" s="304">
        <v>2</v>
      </c>
    </row>
    <row r="14" spans="1:12" s="142" customFormat="1" ht="18" customHeight="1" x14ac:dyDescent="0.3">
      <c r="B14" s="164" t="s">
        <v>1769</v>
      </c>
      <c r="C14" s="164" t="s">
        <v>1776</v>
      </c>
      <c r="D14" s="164" t="s">
        <v>1777</v>
      </c>
      <c r="E14" s="164" t="s">
        <v>1778</v>
      </c>
      <c r="F14" s="302">
        <v>113923.584</v>
      </c>
      <c r="G14" s="302">
        <v>93417.338879999996</v>
      </c>
      <c r="H14" s="302">
        <f t="shared" si="1"/>
        <v>20506.245120000007</v>
      </c>
      <c r="I14" s="303">
        <v>0.255</v>
      </c>
      <c r="J14" s="304">
        <v>6</v>
      </c>
    </row>
    <row r="15" spans="1:12" s="142" customFormat="1" ht="18" customHeight="1" x14ac:dyDescent="0.3">
      <c r="B15" s="164" t="s">
        <v>1769</v>
      </c>
      <c r="C15" s="164" t="s">
        <v>1776</v>
      </c>
      <c r="D15" s="164" t="s">
        <v>1780</v>
      </c>
      <c r="E15" s="164" t="s">
        <v>1778</v>
      </c>
      <c r="F15" s="302">
        <v>90305.279999999999</v>
      </c>
      <c r="G15" s="302">
        <v>70438.118399999992</v>
      </c>
      <c r="H15" s="302">
        <f t="shared" si="1"/>
        <v>19867.161600000007</v>
      </c>
      <c r="I15" s="303">
        <v>0.255</v>
      </c>
      <c r="J15" s="304">
        <v>3</v>
      </c>
    </row>
    <row r="16" spans="1:12" s="142" customFormat="1" ht="18" customHeight="1" x14ac:dyDescent="0.3">
      <c r="B16" s="164" t="s">
        <v>1769</v>
      </c>
      <c r="C16" s="164" t="s">
        <v>1776</v>
      </c>
      <c r="D16" s="164" t="s">
        <v>1777</v>
      </c>
      <c r="E16" s="164" t="s">
        <v>1778</v>
      </c>
      <c r="F16" s="302">
        <v>47520</v>
      </c>
      <c r="G16" s="302">
        <v>45619.199999999997</v>
      </c>
      <c r="H16" s="302">
        <f t="shared" si="1"/>
        <v>1900.8000000000029</v>
      </c>
      <c r="I16" s="303">
        <v>0.247</v>
      </c>
      <c r="J16" s="304">
        <v>6</v>
      </c>
    </row>
    <row r="17" spans="2:10" s="142" customFormat="1" ht="18" customHeight="1" x14ac:dyDescent="0.3">
      <c r="B17" s="164" t="s">
        <v>1769</v>
      </c>
      <c r="C17" s="164" t="s">
        <v>1776</v>
      </c>
      <c r="D17" s="164" t="s">
        <v>1781</v>
      </c>
      <c r="E17" s="164" t="s">
        <v>1778</v>
      </c>
      <c r="F17" s="302">
        <v>261004.79999999999</v>
      </c>
      <c r="G17" s="302">
        <v>221854.07999999999</v>
      </c>
      <c r="H17" s="302">
        <f t="shared" si="1"/>
        <v>39150.720000000001</v>
      </c>
      <c r="I17" s="303">
        <v>0.23300000000000001</v>
      </c>
      <c r="J17" s="304">
        <v>6</v>
      </c>
    </row>
    <row r="18" spans="2:10" s="142" customFormat="1" ht="18" customHeight="1" x14ac:dyDescent="0.3">
      <c r="B18" s="164" t="s">
        <v>1769</v>
      </c>
      <c r="C18" s="164" t="s">
        <v>1776</v>
      </c>
      <c r="D18" s="164" t="s">
        <v>1781</v>
      </c>
      <c r="E18" s="164" t="s">
        <v>1778</v>
      </c>
      <c r="F18" s="302">
        <v>92620.800000000003</v>
      </c>
      <c r="G18" s="302">
        <v>82432.511999999988</v>
      </c>
      <c r="H18" s="302">
        <f t="shared" si="1"/>
        <v>10188.288000000015</v>
      </c>
      <c r="I18" s="303">
        <v>0.187</v>
      </c>
      <c r="J18" s="304">
        <v>3</v>
      </c>
    </row>
    <row r="19" spans="2:10" s="142" customFormat="1" ht="18" customHeight="1" x14ac:dyDescent="0.3">
      <c r="B19" s="164" t="s">
        <v>1769</v>
      </c>
      <c r="C19" s="164" t="s">
        <v>1776</v>
      </c>
      <c r="D19" s="164" t="s">
        <v>1780</v>
      </c>
      <c r="E19" s="164" t="s">
        <v>1779</v>
      </c>
      <c r="F19" s="302">
        <v>394275.84000000003</v>
      </c>
      <c r="G19" s="302">
        <v>366676.53120000003</v>
      </c>
      <c r="H19" s="302">
        <f t="shared" si="1"/>
        <v>27599.308799999999</v>
      </c>
      <c r="I19" s="303">
        <v>0.154</v>
      </c>
      <c r="J19" s="304">
        <v>0</v>
      </c>
    </row>
    <row r="20" spans="2:10" s="142" customFormat="1" ht="18" customHeight="1" x14ac:dyDescent="0.3">
      <c r="B20" s="164" t="s">
        <v>1769</v>
      </c>
      <c r="C20" s="164" t="s">
        <v>1776</v>
      </c>
      <c r="D20" s="164" t="s">
        <v>1780</v>
      </c>
      <c r="E20" s="164" t="s">
        <v>1778</v>
      </c>
      <c r="F20" s="302">
        <v>116121.60000000001</v>
      </c>
      <c r="G20" s="302">
        <v>84768.767999999996</v>
      </c>
      <c r="H20" s="302">
        <f t="shared" si="1"/>
        <v>31352.832000000009</v>
      </c>
      <c r="I20" s="303">
        <v>0.13400000000000001</v>
      </c>
      <c r="J20" s="304">
        <v>3</v>
      </c>
    </row>
    <row r="21" spans="2:10" s="142" customFormat="1" ht="18" customHeight="1" x14ac:dyDescent="0.3">
      <c r="B21" s="164" t="s">
        <v>1782</v>
      </c>
      <c r="C21" s="164" t="s">
        <v>1785</v>
      </c>
      <c r="D21" s="164" t="s">
        <v>1789</v>
      </c>
      <c r="E21" s="164" t="s">
        <v>1779</v>
      </c>
      <c r="F21" s="302">
        <v>91224</v>
      </c>
      <c r="G21" s="302">
        <v>66593.52</v>
      </c>
      <c r="H21" s="302">
        <f t="shared" si="1"/>
        <v>24630.479999999996</v>
      </c>
      <c r="I21" s="303">
        <v>0.65</v>
      </c>
      <c r="J21" s="304">
        <v>6</v>
      </c>
    </row>
    <row r="22" spans="2:10" s="142" customFormat="1" ht="18" customHeight="1" x14ac:dyDescent="0.3">
      <c r="B22" s="164" t="s">
        <v>1782</v>
      </c>
      <c r="C22" s="164" t="s">
        <v>1783</v>
      </c>
      <c r="D22" s="164" t="s">
        <v>1788</v>
      </c>
      <c r="E22" s="164" t="s">
        <v>1778</v>
      </c>
      <c r="F22" s="302">
        <v>76032</v>
      </c>
      <c r="G22" s="302">
        <v>75271.679999999993</v>
      </c>
      <c r="H22" s="302">
        <f t="shared" si="1"/>
        <v>760.32000000000698</v>
      </c>
      <c r="I22" s="303">
        <v>0.623</v>
      </c>
      <c r="J22" s="304">
        <v>0</v>
      </c>
    </row>
    <row r="23" spans="2:10" s="142" customFormat="1" ht="18" customHeight="1" x14ac:dyDescent="0.3">
      <c r="B23" s="164" t="s">
        <v>1782</v>
      </c>
      <c r="C23" s="164" t="s">
        <v>1785</v>
      </c>
      <c r="D23" s="164" t="s">
        <v>1786</v>
      </c>
      <c r="E23" s="164" t="s">
        <v>1779</v>
      </c>
      <c r="F23" s="302">
        <v>121197.6</v>
      </c>
      <c r="G23" s="302">
        <v>112713.76800000001</v>
      </c>
      <c r="H23" s="302">
        <f t="shared" si="1"/>
        <v>8483.8319999999949</v>
      </c>
      <c r="I23" s="303">
        <v>0.45</v>
      </c>
      <c r="J23" s="304">
        <v>13</v>
      </c>
    </row>
    <row r="24" spans="2:10" s="142" customFormat="1" ht="18" customHeight="1" x14ac:dyDescent="0.3">
      <c r="B24" s="164" t="s">
        <v>1782</v>
      </c>
      <c r="C24" s="164" t="s">
        <v>1783</v>
      </c>
      <c r="D24" s="164" t="s">
        <v>1784</v>
      </c>
      <c r="E24" s="164" t="s">
        <v>1779</v>
      </c>
      <c r="F24" s="302">
        <v>181988</v>
      </c>
      <c r="G24" s="302">
        <v>205646.44</v>
      </c>
      <c r="H24" s="302">
        <f t="shared" si="1"/>
        <v>-23658.440000000002</v>
      </c>
      <c r="I24" s="303">
        <v>0.432</v>
      </c>
      <c r="J24" s="304">
        <v>2</v>
      </c>
    </row>
    <row r="25" spans="2:10" s="142" customFormat="1" ht="18" customHeight="1" x14ac:dyDescent="0.3">
      <c r="B25" s="164" t="s">
        <v>1782</v>
      </c>
      <c r="C25" s="164" t="s">
        <v>1785</v>
      </c>
      <c r="D25" s="164" t="s">
        <v>1786</v>
      </c>
      <c r="E25" s="164" t="s">
        <v>1779</v>
      </c>
      <c r="F25" s="302">
        <v>110772</v>
      </c>
      <c r="G25" s="302">
        <v>94156.2</v>
      </c>
      <c r="H25" s="302">
        <f t="shared" si="1"/>
        <v>16615.800000000003</v>
      </c>
      <c r="I25" s="303">
        <v>0.39800000000000002</v>
      </c>
      <c r="J25" s="304">
        <v>9</v>
      </c>
    </row>
    <row r="26" spans="2:10" s="142" customFormat="1" ht="18" customHeight="1" x14ac:dyDescent="0.3">
      <c r="B26" s="164" t="s">
        <v>1782</v>
      </c>
      <c r="C26" s="164" t="s">
        <v>1783</v>
      </c>
      <c r="D26" s="164" t="s">
        <v>1787</v>
      </c>
      <c r="E26" s="164" t="s">
        <v>1778</v>
      </c>
      <c r="F26" s="302">
        <v>128563.2</v>
      </c>
      <c r="G26" s="302">
        <v>119563.776</v>
      </c>
      <c r="H26" s="302">
        <f t="shared" si="1"/>
        <v>8999.4239999999991</v>
      </c>
      <c r="I26" s="303">
        <v>0.39800000000000002</v>
      </c>
      <c r="J26" s="304">
        <v>8</v>
      </c>
    </row>
    <row r="27" spans="2:10" s="142" customFormat="1" ht="18" customHeight="1" x14ac:dyDescent="0.3">
      <c r="B27" s="164" t="s">
        <v>1782</v>
      </c>
      <c r="C27" s="164" t="s">
        <v>1783</v>
      </c>
      <c r="D27" s="164" t="s">
        <v>1784</v>
      </c>
      <c r="E27" s="164" t="s">
        <v>1778</v>
      </c>
      <c r="F27" s="302">
        <v>96768</v>
      </c>
      <c r="G27" s="302">
        <v>70640.639999999999</v>
      </c>
      <c r="H27" s="302">
        <f t="shared" si="1"/>
        <v>26127.360000000001</v>
      </c>
      <c r="I27" s="303">
        <v>0.34499999999999997</v>
      </c>
      <c r="J27" s="304">
        <v>2</v>
      </c>
    </row>
    <row r="28" spans="2:10" s="142" customFormat="1" ht="18" customHeight="1" x14ac:dyDescent="0.3">
      <c r="B28" s="164" t="s">
        <v>1782</v>
      </c>
      <c r="C28" s="164" t="s">
        <v>1785</v>
      </c>
      <c r="D28" s="164" t="s">
        <v>1789</v>
      </c>
      <c r="E28" s="164" t="s">
        <v>1779</v>
      </c>
      <c r="F28" s="302">
        <v>110772</v>
      </c>
      <c r="G28" s="302">
        <v>125172.36</v>
      </c>
      <c r="H28" s="302">
        <f t="shared" si="1"/>
        <v>-14400.36</v>
      </c>
      <c r="I28" s="303">
        <v>0.498</v>
      </c>
      <c r="J28" s="304">
        <v>1</v>
      </c>
    </row>
    <row r="29" spans="2:10" s="142" customFormat="1" ht="18" customHeight="1" x14ac:dyDescent="0.3">
      <c r="B29" s="164" t="s">
        <v>1782</v>
      </c>
      <c r="C29" s="164" t="s">
        <v>1783</v>
      </c>
      <c r="D29" s="164" t="s">
        <v>1784</v>
      </c>
      <c r="E29" s="164" t="s">
        <v>1778</v>
      </c>
      <c r="F29" s="302">
        <v>432900</v>
      </c>
      <c r="G29" s="302">
        <v>367965</v>
      </c>
      <c r="H29" s="302">
        <f t="shared" si="1"/>
        <v>64935</v>
      </c>
      <c r="I29" s="303">
        <v>0.247</v>
      </c>
      <c r="J29" s="304">
        <v>2</v>
      </c>
    </row>
    <row r="30" spans="2:10" s="142" customFormat="1" ht="18" customHeight="1" x14ac:dyDescent="0.3">
      <c r="B30" s="164" t="s">
        <v>1782</v>
      </c>
      <c r="C30" s="164" t="s">
        <v>1785</v>
      </c>
      <c r="D30" s="164" t="s">
        <v>1789</v>
      </c>
      <c r="E30" s="164" t="s">
        <v>1779</v>
      </c>
      <c r="F30" s="302">
        <v>91224</v>
      </c>
      <c r="G30" s="302">
        <v>127713.60000000001</v>
      </c>
      <c r="H30" s="302">
        <f t="shared" si="1"/>
        <v>-36489.600000000006</v>
      </c>
      <c r="I30" s="303">
        <v>0.247</v>
      </c>
      <c r="J30" s="304">
        <v>4</v>
      </c>
    </row>
    <row r="31" spans="2:10" s="142" customFormat="1" ht="18" customHeight="1" x14ac:dyDescent="0.3">
      <c r="B31" s="164" t="s">
        <v>1782</v>
      </c>
      <c r="C31" s="164" t="s">
        <v>1785</v>
      </c>
      <c r="D31" s="164" t="s">
        <v>1789</v>
      </c>
      <c r="E31" s="164" t="s">
        <v>1778</v>
      </c>
      <c r="F31" s="302">
        <v>217504</v>
      </c>
      <c r="G31" s="302">
        <v>184878.4</v>
      </c>
      <c r="H31" s="302">
        <f t="shared" si="1"/>
        <v>32625.600000000006</v>
      </c>
      <c r="I31" s="303">
        <v>0.23300000000000001</v>
      </c>
      <c r="J31" s="304">
        <v>9</v>
      </c>
    </row>
    <row r="32" spans="2:10" s="142" customFormat="1" ht="18" customHeight="1" x14ac:dyDescent="0.3">
      <c r="B32" s="164" t="s">
        <v>1782</v>
      </c>
      <c r="C32" s="164" t="s">
        <v>1783</v>
      </c>
      <c r="D32" s="164" t="s">
        <v>1787</v>
      </c>
      <c r="E32" s="164" t="s">
        <v>1778</v>
      </c>
      <c r="F32" s="302">
        <v>128563.2</v>
      </c>
      <c r="G32" s="302">
        <v>119563.776</v>
      </c>
      <c r="H32" s="302">
        <f t="shared" si="1"/>
        <v>8999.4239999999991</v>
      </c>
      <c r="I32" s="303">
        <v>0.23300000000000001</v>
      </c>
      <c r="J32" s="304">
        <v>1</v>
      </c>
    </row>
    <row r="33" spans="2:10" s="142" customFormat="1" ht="18" customHeight="1" x14ac:dyDescent="0.3">
      <c r="B33" s="164" t="s">
        <v>1782</v>
      </c>
      <c r="C33" s="164" t="s">
        <v>1785</v>
      </c>
      <c r="D33" s="164" t="s">
        <v>1786</v>
      </c>
      <c r="E33" s="164" t="s">
        <v>1779</v>
      </c>
      <c r="F33" s="302">
        <v>121197.6</v>
      </c>
      <c r="G33" s="302">
        <v>112713.76800000001</v>
      </c>
      <c r="H33" s="302">
        <f t="shared" si="1"/>
        <v>8483.8319999999949</v>
      </c>
      <c r="I33" s="303">
        <v>0.23300000000000001</v>
      </c>
      <c r="J33" s="304">
        <v>0</v>
      </c>
    </row>
    <row r="34" spans="2:10" s="142" customFormat="1" ht="18" customHeight="1" x14ac:dyDescent="0.3">
      <c r="B34" s="164" t="s">
        <v>1782</v>
      </c>
      <c r="C34" s="164" t="s">
        <v>1785</v>
      </c>
      <c r="D34" s="164" t="s">
        <v>1789</v>
      </c>
      <c r="E34" s="164" t="s">
        <v>1779</v>
      </c>
      <c r="F34" s="302">
        <v>110772</v>
      </c>
      <c r="G34" s="302">
        <v>125172.36</v>
      </c>
      <c r="H34" s="302">
        <f t="shared" si="1"/>
        <v>-14400.36</v>
      </c>
      <c r="I34" s="303">
        <v>0.23300000000000001</v>
      </c>
      <c r="J34" s="304">
        <v>0</v>
      </c>
    </row>
    <row r="35" spans="2:10" s="142" customFormat="1" ht="18" customHeight="1" x14ac:dyDescent="0.3">
      <c r="B35" s="164" t="s">
        <v>1782</v>
      </c>
      <c r="C35" s="164" t="s">
        <v>1785</v>
      </c>
      <c r="D35" s="164" t="s">
        <v>1789</v>
      </c>
      <c r="E35" s="164" t="s">
        <v>1778</v>
      </c>
      <c r="F35" s="302">
        <v>128563.2</v>
      </c>
      <c r="G35" s="302">
        <v>119563.776</v>
      </c>
      <c r="H35" s="302">
        <f t="shared" si="1"/>
        <v>8999.4239999999991</v>
      </c>
      <c r="I35" s="303">
        <v>0.154</v>
      </c>
      <c r="J35" s="304">
        <v>3</v>
      </c>
    </row>
    <row r="36" spans="2:10" s="142" customFormat="1" ht="18" customHeight="1" x14ac:dyDescent="0.3">
      <c r="B36" s="164" t="s">
        <v>1782</v>
      </c>
      <c r="C36" s="164" t="s">
        <v>1783</v>
      </c>
      <c r="D36" s="164" t="s">
        <v>1784</v>
      </c>
      <c r="E36" s="164" t="s">
        <v>1779</v>
      </c>
      <c r="F36" s="302">
        <v>121197.6</v>
      </c>
      <c r="G36" s="302">
        <v>112713.76800000001</v>
      </c>
      <c r="H36" s="302">
        <f t="shared" si="1"/>
        <v>8483.8319999999949</v>
      </c>
      <c r="I36" s="303">
        <v>0.154</v>
      </c>
      <c r="J36" s="304">
        <v>4</v>
      </c>
    </row>
    <row r="37" spans="2:10" s="142" customFormat="1" ht="18" customHeight="1" x14ac:dyDescent="0.3">
      <c r="B37" s="164" t="s">
        <v>1782</v>
      </c>
      <c r="C37" s="164" t="s">
        <v>1785</v>
      </c>
      <c r="D37" s="164" t="s">
        <v>1789</v>
      </c>
      <c r="E37" s="164" t="s">
        <v>1779</v>
      </c>
      <c r="F37" s="302">
        <v>71676</v>
      </c>
      <c r="G37" s="302">
        <v>70959.240000000005</v>
      </c>
      <c r="H37" s="302">
        <f t="shared" si="1"/>
        <v>716.75999999999476</v>
      </c>
      <c r="I37" s="303">
        <v>0.13400000000000001</v>
      </c>
      <c r="J37" s="304">
        <v>9</v>
      </c>
    </row>
    <row r="38" spans="2:10" s="142" customFormat="1" ht="18" customHeight="1" x14ac:dyDescent="0.3">
      <c r="B38" s="164" t="s">
        <v>1790</v>
      </c>
      <c r="C38" s="164" t="s">
        <v>1776</v>
      </c>
      <c r="D38" s="164" t="s">
        <v>1777</v>
      </c>
      <c r="E38" s="164" t="s">
        <v>1791</v>
      </c>
      <c r="F38" s="302">
        <v>94936.320000000007</v>
      </c>
      <c r="G38" s="302">
        <v>77847.782399999996</v>
      </c>
      <c r="H38" s="302">
        <f t="shared" si="1"/>
        <v>17088.537600000011</v>
      </c>
      <c r="I38" s="303">
        <v>0.57599999999999996</v>
      </c>
      <c r="J38" s="304">
        <v>8</v>
      </c>
    </row>
    <row r="39" spans="2:10" s="142" customFormat="1" ht="18" customHeight="1" x14ac:dyDescent="0.3">
      <c r="B39" s="164" t="s">
        <v>1790</v>
      </c>
      <c r="C39" s="164" t="s">
        <v>1776</v>
      </c>
      <c r="D39" s="164" t="s">
        <v>1780</v>
      </c>
      <c r="E39" s="164" t="s">
        <v>1791</v>
      </c>
      <c r="F39" s="302">
        <v>69465.600000000006</v>
      </c>
      <c r="G39" s="302">
        <v>66686.975999999995</v>
      </c>
      <c r="H39" s="302">
        <f t="shared" si="1"/>
        <v>2778.6240000000107</v>
      </c>
      <c r="I39" s="303">
        <v>0.57299999999999995</v>
      </c>
      <c r="J39" s="304">
        <v>8</v>
      </c>
    </row>
    <row r="40" spans="2:10" s="142" customFormat="1" ht="18" customHeight="1" x14ac:dyDescent="0.3">
      <c r="B40" s="164" t="s">
        <v>1790</v>
      </c>
      <c r="C40" s="164" t="s">
        <v>1776</v>
      </c>
      <c r="D40" s="164" t="s">
        <v>1777</v>
      </c>
      <c r="E40" s="164" t="s">
        <v>1778</v>
      </c>
      <c r="F40" s="302">
        <v>519480</v>
      </c>
      <c r="G40" s="302">
        <v>1443556</v>
      </c>
      <c r="H40" s="302">
        <f t="shared" ref="H40:H71" si="2">F40-G40</f>
        <v>-924076</v>
      </c>
      <c r="I40" s="303">
        <v>0.39800000000000002</v>
      </c>
      <c r="J40" s="304">
        <v>6</v>
      </c>
    </row>
    <row r="41" spans="2:10" s="142" customFormat="1" ht="18" customHeight="1" x14ac:dyDescent="0.3">
      <c r="B41" s="164" t="s">
        <v>1790</v>
      </c>
      <c r="C41" s="164" t="s">
        <v>1776</v>
      </c>
      <c r="D41" s="164" t="s">
        <v>1781</v>
      </c>
      <c r="E41" s="164" t="s">
        <v>1792</v>
      </c>
      <c r="F41" s="302">
        <v>113923.584</v>
      </c>
      <c r="G41" s="302">
        <v>93417.338879999996</v>
      </c>
      <c r="H41" s="302">
        <f t="shared" si="2"/>
        <v>20506.245120000007</v>
      </c>
      <c r="I41" s="303">
        <v>0.35599999999999998</v>
      </c>
      <c r="J41" s="304">
        <v>2</v>
      </c>
    </row>
    <row r="42" spans="2:10" s="142" customFormat="1" ht="18" customHeight="1" x14ac:dyDescent="0.3">
      <c r="B42" s="164" t="s">
        <v>1790</v>
      </c>
      <c r="C42" s="164" t="s">
        <v>1776</v>
      </c>
      <c r="D42" s="164" t="s">
        <v>1780</v>
      </c>
      <c r="E42" s="164" t="s">
        <v>1792</v>
      </c>
      <c r="F42" s="302">
        <v>154275.84</v>
      </c>
      <c r="G42" s="302">
        <v>143476.5312</v>
      </c>
      <c r="H42" s="302">
        <f t="shared" si="2"/>
        <v>10799.308799999999</v>
      </c>
      <c r="I42" s="303">
        <v>0.52200000000000002</v>
      </c>
      <c r="J42" s="304">
        <v>4</v>
      </c>
    </row>
    <row r="43" spans="2:10" s="142" customFormat="1" ht="18" customHeight="1" x14ac:dyDescent="0.3">
      <c r="B43" s="164" t="s">
        <v>1790</v>
      </c>
      <c r="C43" s="164" t="s">
        <v>1776</v>
      </c>
      <c r="D43" s="164" t="s">
        <v>1777</v>
      </c>
      <c r="E43" s="164" t="s">
        <v>1792</v>
      </c>
      <c r="F43" s="302">
        <v>91238.399999999994</v>
      </c>
      <c r="G43" s="302">
        <v>90326.015999999989</v>
      </c>
      <c r="H43" s="302">
        <f t="shared" si="2"/>
        <v>912.38400000000547</v>
      </c>
      <c r="I43" s="303">
        <v>0.315</v>
      </c>
      <c r="J43" s="304">
        <v>9</v>
      </c>
    </row>
    <row r="44" spans="2:10" s="142" customFormat="1" ht="18" customHeight="1" x14ac:dyDescent="0.3">
      <c r="B44" s="164" t="s">
        <v>1790</v>
      </c>
      <c r="C44" s="164" t="s">
        <v>1776</v>
      </c>
      <c r="D44" s="164" t="s">
        <v>1781</v>
      </c>
      <c r="E44" s="164" t="s">
        <v>1791</v>
      </c>
      <c r="F44" s="302">
        <v>91463.039999999994</v>
      </c>
      <c r="G44" s="302">
        <v>72255.801599999992</v>
      </c>
      <c r="H44" s="302">
        <f t="shared" si="2"/>
        <v>19207.238400000002</v>
      </c>
      <c r="I44" s="303">
        <v>0.27600000000000002</v>
      </c>
      <c r="J44" s="304">
        <v>5</v>
      </c>
    </row>
    <row r="45" spans="2:10" s="142" customFormat="1" ht="18" customHeight="1" x14ac:dyDescent="0.3">
      <c r="B45" s="164" t="s">
        <v>1790</v>
      </c>
      <c r="C45" s="164" t="s">
        <v>1776</v>
      </c>
      <c r="D45" s="164" t="s">
        <v>1777</v>
      </c>
      <c r="E45" s="164" t="s">
        <v>1792</v>
      </c>
      <c r="F45" s="302">
        <v>90305.279999999999</v>
      </c>
      <c r="G45" s="302">
        <v>70438.118399999992</v>
      </c>
      <c r="H45" s="302">
        <f t="shared" si="2"/>
        <v>19867.161600000007</v>
      </c>
      <c r="I45" s="305">
        <v>0.26500000000000001</v>
      </c>
      <c r="J45" s="304">
        <v>2</v>
      </c>
    </row>
    <row r="46" spans="2:10" s="142" customFormat="1" ht="18" customHeight="1" x14ac:dyDescent="0.3">
      <c r="B46" s="164" t="s">
        <v>1790</v>
      </c>
      <c r="C46" s="164" t="s">
        <v>1776</v>
      </c>
      <c r="D46" s="164" t="s">
        <v>1780</v>
      </c>
      <c r="E46" s="164" t="s">
        <v>1792</v>
      </c>
      <c r="F46" s="302">
        <v>92620.800000000003</v>
      </c>
      <c r="G46" s="302">
        <v>104661.504</v>
      </c>
      <c r="H46" s="302">
        <f t="shared" si="2"/>
        <v>-12040.703999999998</v>
      </c>
      <c r="I46" s="303">
        <v>0.255</v>
      </c>
      <c r="J46" s="304">
        <v>9</v>
      </c>
    </row>
    <row r="47" spans="2:10" s="142" customFormat="1" ht="18" customHeight="1" x14ac:dyDescent="0.3">
      <c r="B47" s="164" t="s">
        <v>1790</v>
      </c>
      <c r="C47" s="164" t="s">
        <v>1776</v>
      </c>
      <c r="D47" s="164" t="s">
        <v>1781</v>
      </c>
      <c r="E47" s="164" t="s">
        <v>1791</v>
      </c>
      <c r="F47" s="302">
        <v>154275.84</v>
      </c>
      <c r="G47" s="302">
        <v>143476.5312</v>
      </c>
      <c r="H47" s="302">
        <f t="shared" si="2"/>
        <v>10799.308799999999</v>
      </c>
      <c r="I47" s="303">
        <v>0.247</v>
      </c>
      <c r="J47" s="304">
        <v>8</v>
      </c>
    </row>
    <row r="48" spans="2:10" s="142" customFormat="1" ht="18" customHeight="1" x14ac:dyDescent="0.3">
      <c r="B48" s="164" t="s">
        <v>1790</v>
      </c>
      <c r="C48" s="164" t="s">
        <v>1776</v>
      </c>
      <c r="D48" s="164" t="s">
        <v>1781</v>
      </c>
      <c r="E48" s="164" t="s">
        <v>1792</v>
      </c>
      <c r="F48" s="302">
        <v>1447185.6</v>
      </c>
      <c r="G48" s="302">
        <v>975545</v>
      </c>
      <c r="H48" s="302">
        <f t="shared" si="2"/>
        <v>471640.60000000009</v>
      </c>
      <c r="I48" s="303">
        <v>0.23300000000000001</v>
      </c>
      <c r="J48" s="304">
        <v>9</v>
      </c>
    </row>
    <row r="49" spans="2:10" s="142" customFormat="1" ht="18" customHeight="1" x14ac:dyDescent="0.3">
      <c r="B49" s="164" t="s">
        <v>1790</v>
      </c>
      <c r="C49" s="164" t="s">
        <v>1776</v>
      </c>
      <c r="D49" s="164" t="s">
        <v>1780</v>
      </c>
      <c r="E49" s="164" t="s">
        <v>1791</v>
      </c>
      <c r="F49" s="302">
        <v>113923.584</v>
      </c>
      <c r="G49" s="302">
        <v>93417.338879999996</v>
      </c>
      <c r="H49" s="302">
        <f t="shared" si="2"/>
        <v>20506.245120000007</v>
      </c>
      <c r="I49" s="303">
        <v>0.187</v>
      </c>
      <c r="J49" s="304">
        <v>5</v>
      </c>
    </row>
    <row r="50" spans="2:10" s="142" customFormat="1" ht="18" customHeight="1" x14ac:dyDescent="0.3">
      <c r="B50" s="164" t="s">
        <v>1790</v>
      </c>
      <c r="C50" s="164" t="s">
        <v>1776</v>
      </c>
      <c r="D50" s="164" t="s">
        <v>1781</v>
      </c>
      <c r="E50" s="164" t="s">
        <v>1792</v>
      </c>
      <c r="F50" s="302">
        <v>94936.320000000007</v>
      </c>
      <c r="G50" s="302">
        <v>77847.782399999996</v>
      </c>
      <c r="H50" s="302">
        <f t="shared" si="2"/>
        <v>17088.537600000011</v>
      </c>
      <c r="I50" s="303">
        <v>0.13400000000000001</v>
      </c>
      <c r="J50" s="304">
        <v>4</v>
      </c>
    </row>
    <row r="51" spans="2:10" s="142" customFormat="1" ht="18" customHeight="1" x14ac:dyDescent="0.3">
      <c r="B51" s="164" t="s">
        <v>1793</v>
      </c>
      <c r="C51" s="164" t="s">
        <v>1783</v>
      </c>
      <c r="D51" s="164" t="s">
        <v>1784</v>
      </c>
      <c r="E51" s="164" t="s">
        <v>1778</v>
      </c>
      <c r="F51" s="302">
        <v>1205988</v>
      </c>
      <c r="G51" s="302">
        <v>657880</v>
      </c>
      <c r="H51" s="302">
        <f t="shared" si="2"/>
        <v>548108</v>
      </c>
      <c r="I51" s="303">
        <v>0.432</v>
      </c>
      <c r="J51" s="304">
        <v>10</v>
      </c>
    </row>
    <row r="52" spans="2:10" s="142" customFormat="1" ht="18" customHeight="1" x14ac:dyDescent="0.3">
      <c r="B52" s="164" t="s">
        <v>1793</v>
      </c>
      <c r="C52" s="164" t="s">
        <v>1783</v>
      </c>
      <c r="D52" s="164" t="s">
        <v>1784</v>
      </c>
      <c r="E52" s="164" t="s">
        <v>1778</v>
      </c>
      <c r="F52" s="302">
        <f>128563.2+200000</f>
        <v>328563.20000000001</v>
      </c>
      <c r="G52" s="302">
        <v>305563.77600000001</v>
      </c>
      <c r="H52" s="302">
        <f t="shared" si="2"/>
        <v>22999.423999999999</v>
      </c>
      <c r="I52" s="305">
        <v>0.39800000000000002</v>
      </c>
      <c r="J52" s="304">
        <v>3</v>
      </c>
    </row>
    <row r="53" spans="2:10" s="142" customFormat="1" ht="18" customHeight="1" x14ac:dyDescent="0.3">
      <c r="B53" s="164" t="s">
        <v>1794</v>
      </c>
      <c r="C53" s="164" t="s">
        <v>1785</v>
      </c>
      <c r="D53" s="164" t="s">
        <v>1789</v>
      </c>
      <c r="E53" s="164" t="s">
        <v>1791</v>
      </c>
      <c r="F53" s="302">
        <v>54120</v>
      </c>
      <c r="G53" s="302">
        <v>44378.400000000001</v>
      </c>
      <c r="H53" s="302">
        <f t="shared" si="2"/>
        <v>9741.5999999999985</v>
      </c>
      <c r="I53" s="303">
        <v>0.54300000000000004</v>
      </c>
      <c r="J53" s="304">
        <v>3</v>
      </c>
    </row>
    <row r="54" spans="2:10" s="142" customFormat="1" ht="18" customHeight="1" x14ac:dyDescent="0.3">
      <c r="B54" s="164" t="s">
        <v>1794</v>
      </c>
      <c r="C54" s="164" t="s">
        <v>1783</v>
      </c>
      <c r="D54" s="164" t="s">
        <v>1784</v>
      </c>
      <c r="E54" s="164" t="s">
        <v>1791</v>
      </c>
      <c r="F54" s="302">
        <v>39600</v>
      </c>
      <c r="G54" s="302">
        <v>38016</v>
      </c>
      <c r="H54" s="302">
        <f t="shared" si="2"/>
        <v>1584</v>
      </c>
      <c r="I54" s="303">
        <v>0.61199999999999999</v>
      </c>
      <c r="J54" s="304">
        <v>2</v>
      </c>
    </row>
    <row r="55" spans="2:10" s="142" customFormat="1" ht="18" customHeight="1" x14ac:dyDescent="0.3">
      <c r="B55" s="164" t="s">
        <v>1794</v>
      </c>
      <c r="C55" s="164" t="s">
        <v>1785</v>
      </c>
      <c r="D55" s="164" t="s">
        <v>1786</v>
      </c>
      <c r="E55" s="164" t="s">
        <v>1792</v>
      </c>
      <c r="F55" s="302">
        <v>77184</v>
      </c>
      <c r="G55" s="302">
        <v>87217.919999999998</v>
      </c>
      <c r="H55" s="302">
        <f t="shared" si="2"/>
        <v>-10033.919999999998</v>
      </c>
      <c r="I55" s="303">
        <v>0.34399999999999997</v>
      </c>
      <c r="J55" s="304">
        <v>5</v>
      </c>
    </row>
    <row r="56" spans="2:10" s="142" customFormat="1" ht="18" customHeight="1" x14ac:dyDescent="0.3">
      <c r="B56" s="164" t="s">
        <v>1794</v>
      </c>
      <c r="C56" s="164" t="s">
        <v>1785</v>
      </c>
      <c r="D56" s="164" t="s">
        <v>1786</v>
      </c>
      <c r="E56" s="164" t="s">
        <v>1792</v>
      </c>
      <c r="F56" s="302">
        <v>76219.199999999997</v>
      </c>
      <c r="G56" s="302">
        <v>60213.167999999998</v>
      </c>
      <c r="H56" s="302">
        <f t="shared" si="2"/>
        <v>16006.031999999999</v>
      </c>
      <c r="I56" s="303">
        <v>0.754</v>
      </c>
      <c r="J56" s="304">
        <v>1</v>
      </c>
    </row>
    <row r="57" spans="2:10" s="142" customFormat="1" ht="18" customHeight="1" x14ac:dyDescent="0.3">
      <c r="B57" s="164" t="s">
        <v>1794</v>
      </c>
      <c r="C57" s="164" t="s">
        <v>1783</v>
      </c>
      <c r="D57" s="164" t="s">
        <v>1784</v>
      </c>
      <c r="E57" s="164" t="s">
        <v>1792</v>
      </c>
      <c r="F57" s="302">
        <v>79113.600000000006</v>
      </c>
      <c r="G57" s="302">
        <v>64873.152000000002</v>
      </c>
      <c r="H57" s="302">
        <f t="shared" si="2"/>
        <v>14240.448000000004</v>
      </c>
      <c r="I57" s="303">
        <v>0.435</v>
      </c>
      <c r="J57" s="304">
        <v>6</v>
      </c>
    </row>
    <row r="58" spans="2:10" s="142" customFormat="1" ht="18" customHeight="1" x14ac:dyDescent="0.3">
      <c r="B58" s="164" t="s">
        <v>1794</v>
      </c>
      <c r="C58" s="164" t="s">
        <v>1785</v>
      </c>
      <c r="D58" s="164" t="s">
        <v>1789</v>
      </c>
      <c r="E58" s="164" t="s">
        <v>1791</v>
      </c>
      <c r="F58" s="302">
        <v>39600</v>
      </c>
      <c r="G58" s="302">
        <v>38016</v>
      </c>
      <c r="H58" s="302">
        <f t="shared" si="2"/>
        <v>1584</v>
      </c>
      <c r="I58" s="303">
        <v>0.56299999999999994</v>
      </c>
      <c r="J58" s="304">
        <v>8</v>
      </c>
    </row>
    <row r="59" spans="2:10" s="142" customFormat="1" ht="18" customHeight="1" x14ac:dyDescent="0.3">
      <c r="B59" s="164" t="s">
        <v>1794</v>
      </c>
      <c r="C59" s="164" t="s">
        <v>1783</v>
      </c>
      <c r="D59" s="164" t="s">
        <v>1784</v>
      </c>
      <c r="E59" s="164" t="s">
        <v>1779</v>
      </c>
      <c r="F59" s="302">
        <v>71676</v>
      </c>
      <c r="G59" s="302">
        <v>70959.240000000005</v>
      </c>
      <c r="H59" s="302">
        <f t="shared" si="2"/>
        <v>716.75999999999476</v>
      </c>
      <c r="I59" s="303">
        <v>0.23400000000000001</v>
      </c>
      <c r="J59" s="304">
        <v>1</v>
      </c>
    </row>
    <row r="60" spans="2:10" s="142" customFormat="1" ht="18" customHeight="1" x14ac:dyDescent="0.3">
      <c r="B60" s="164" t="s">
        <v>1794</v>
      </c>
      <c r="C60" s="164" t="s">
        <v>1783</v>
      </c>
      <c r="D60" s="164" t="s">
        <v>1787</v>
      </c>
      <c r="E60" s="164" t="s">
        <v>1792</v>
      </c>
      <c r="F60" s="302">
        <v>75254.399999999994</v>
      </c>
      <c r="G60" s="302">
        <v>58698.432000000001</v>
      </c>
      <c r="H60" s="302">
        <f t="shared" si="2"/>
        <v>16555.967999999993</v>
      </c>
      <c r="I60" s="303">
        <v>0.35599999999999998</v>
      </c>
      <c r="J60" s="304">
        <v>5</v>
      </c>
    </row>
    <row r="61" spans="2:10" s="142" customFormat="1" ht="18" customHeight="1" x14ac:dyDescent="0.3">
      <c r="B61" s="164" t="s">
        <v>1794</v>
      </c>
      <c r="C61" s="164" t="s">
        <v>1785</v>
      </c>
      <c r="D61" s="164" t="s">
        <v>1786</v>
      </c>
      <c r="E61" s="164" t="s">
        <v>1791</v>
      </c>
      <c r="F61" s="302">
        <v>52140</v>
      </c>
      <c r="G61" s="302">
        <v>41190.6</v>
      </c>
      <c r="H61" s="302">
        <f t="shared" si="2"/>
        <v>10949.400000000001</v>
      </c>
      <c r="I61" s="303">
        <v>0.35599999999999998</v>
      </c>
      <c r="J61" s="304">
        <v>5</v>
      </c>
    </row>
    <row r="62" spans="2:10" s="142" customFormat="1" ht="18" customHeight="1" x14ac:dyDescent="0.3">
      <c r="B62" s="164" t="s">
        <v>1794</v>
      </c>
      <c r="C62" s="164" t="s">
        <v>1785</v>
      </c>
      <c r="D62" s="164" t="s">
        <v>1789</v>
      </c>
      <c r="E62" s="164" t="s">
        <v>1791</v>
      </c>
      <c r="F62" s="302">
        <v>54120</v>
      </c>
      <c r="G62" s="302">
        <v>44378.400000000001</v>
      </c>
      <c r="H62" s="302">
        <f t="shared" si="2"/>
        <v>9741.5999999999985</v>
      </c>
      <c r="I62" s="303">
        <v>0.377</v>
      </c>
      <c r="J62" s="304">
        <v>8</v>
      </c>
    </row>
    <row r="63" spans="2:10" s="142" customFormat="1" ht="18" customHeight="1" x14ac:dyDescent="0.3">
      <c r="B63" s="164" t="s">
        <v>1794</v>
      </c>
      <c r="C63" s="164" t="s">
        <v>1783</v>
      </c>
      <c r="D63" s="164" t="s">
        <v>1784</v>
      </c>
      <c r="E63" s="164" t="s">
        <v>1792</v>
      </c>
      <c r="F63" s="302">
        <v>57888</v>
      </c>
      <c r="G63" s="302">
        <v>55572.480000000003</v>
      </c>
      <c r="H63" s="302">
        <f t="shared" si="2"/>
        <v>2315.5199999999968</v>
      </c>
      <c r="I63" s="303">
        <v>0.245</v>
      </c>
      <c r="J63" s="304">
        <v>5</v>
      </c>
    </row>
    <row r="64" spans="2:10" s="142" customFormat="1" ht="18" customHeight="1" x14ac:dyDescent="0.3">
      <c r="B64" s="164" t="s">
        <v>1794</v>
      </c>
      <c r="C64" s="164" t="s">
        <v>1783</v>
      </c>
      <c r="D64" s="164" t="s">
        <v>1784</v>
      </c>
      <c r="E64" s="164" t="s">
        <v>1792</v>
      </c>
      <c r="F64" s="302">
        <v>79113.600000000006</v>
      </c>
      <c r="G64" s="302">
        <v>64873.152000000002</v>
      </c>
      <c r="H64" s="302">
        <f t="shared" si="2"/>
        <v>14240.448000000004</v>
      </c>
      <c r="I64" s="303">
        <v>0.27600000000000002</v>
      </c>
      <c r="J64" s="304">
        <v>0</v>
      </c>
    </row>
    <row r="65" spans="2:10" s="142" customFormat="1" ht="18" customHeight="1" x14ac:dyDescent="0.3">
      <c r="B65" s="164" t="s">
        <v>1794</v>
      </c>
      <c r="C65" s="164" t="s">
        <v>1785</v>
      </c>
      <c r="D65" s="164" t="s">
        <v>1786</v>
      </c>
      <c r="E65" s="164" t="s">
        <v>1791</v>
      </c>
      <c r="F65" s="302">
        <v>52140</v>
      </c>
      <c r="G65" s="302">
        <v>41190.6</v>
      </c>
      <c r="H65" s="302">
        <f t="shared" si="2"/>
        <v>10949.400000000001</v>
      </c>
      <c r="I65" s="303">
        <v>0.27600000000000002</v>
      </c>
      <c r="J65" s="304">
        <v>6</v>
      </c>
    </row>
    <row r="66" spans="2:10" s="142" customFormat="1" ht="18" customHeight="1" x14ac:dyDescent="0.3">
      <c r="B66" s="164" t="s">
        <v>1794</v>
      </c>
      <c r="C66" s="164" t="s">
        <v>1783</v>
      </c>
      <c r="D66" s="164" t="s">
        <v>1787</v>
      </c>
      <c r="E66" s="164" t="s">
        <v>1792</v>
      </c>
      <c r="F66" s="302">
        <v>76219.199999999997</v>
      </c>
      <c r="G66" s="302">
        <v>60213.167999999998</v>
      </c>
      <c r="H66" s="302">
        <f t="shared" si="2"/>
        <v>16006.031999999999</v>
      </c>
      <c r="I66" s="303">
        <v>0.26500000000000001</v>
      </c>
      <c r="J66" s="304">
        <v>7</v>
      </c>
    </row>
    <row r="67" spans="2:10" s="142" customFormat="1" ht="18" customHeight="1" x14ac:dyDescent="0.3">
      <c r="B67" s="164" t="s">
        <v>1794</v>
      </c>
      <c r="C67" s="164" t="s">
        <v>1783</v>
      </c>
      <c r="D67" s="164" t="s">
        <v>1784</v>
      </c>
      <c r="E67" s="164" t="s">
        <v>1791</v>
      </c>
      <c r="F67" s="302">
        <v>51480</v>
      </c>
      <c r="G67" s="302">
        <v>58172.4</v>
      </c>
      <c r="H67" s="302">
        <f t="shared" si="2"/>
        <v>-6692.4000000000015</v>
      </c>
      <c r="I67" s="305">
        <v>0.26500000000000001</v>
      </c>
      <c r="J67" s="304">
        <v>9</v>
      </c>
    </row>
    <row r="68" spans="2:10" s="142" customFormat="1" ht="18" customHeight="1" x14ac:dyDescent="0.3">
      <c r="B68" s="164" t="s">
        <v>1794</v>
      </c>
      <c r="C68" s="164" t="s">
        <v>1785</v>
      </c>
      <c r="D68" s="164" t="s">
        <v>1786</v>
      </c>
      <c r="E68" s="164" t="s">
        <v>1792</v>
      </c>
      <c r="F68" s="302">
        <v>75254.399999999994</v>
      </c>
      <c r="G68" s="302">
        <v>58698.432000000001</v>
      </c>
      <c r="H68" s="302">
        <f t="shared" si="2"/>
        <v>16555.967999999993</v>
      </c>
      <c r="I68" s="303">
        <v>0.255</v>
      </c>
      <c r="J68" s="304">
        <v>9</v>
      </c>
    </row>
    <row r="69" spans="2:10" s="142" customFormat="1" ht="18" customHeight="1" x14ac:dyDescent="0.3">
      <c r="B69" s="164" t="s">
        <v>1794</v>
      </c>
      <c r="C69" s="164" t="s">
        <v>1785</v>
      </c>
      <c r="D69" s="164" t="s">
        <v>1789</v>
      </c>
      <c r="E69" s="164" t="s">
        <v>1792</v>
      </c>
      <c r="F69" s="302">
        <v>79113.600000000006</v>
      </c>
      <c r="G69" s="302">
        <v>64873.152000000002</v>
      </c>
      <c r="H69" s="302">
        <f t="shared" si="2"/>
        <v>14240.448000000004</v>
      </c>
      <c r="I69" s="303">
        <v>0.255</v>
      </c>
      <c r="J69" s="304">
        <v>9</v>
      </c>
    </row>
    <row r="70" spans="2:10" s="142" customFormat="1" ht="18" customHeight="1" x14ac:dyDescent="0.3">
      <c r="B70" s="164" t="s">
        <v>1794</v>
      </c>
      <c r="C70" s="164" t="s">
        <v>1785</v>
      </c>
      <c r="D70" s="164" t="s">
        <v>1789</v>
      </c>
      <c r="E70" s="164" t="s">
        <v>1791</v>
      </c>
      <c r="F70" s="302">
        <v>51480</v>
      </c>
      <c r="G70" s="302">
        <v>40154.400000000001</v>
      </c>
      <c r="H70" s="302">
        <f t="shared" si="2"/>
        <v>11325.599999999999</v>
      </c>
      <c r="I70" s="303">
        <v>0.255</v>
      </c>
      <c r="J70" s="304">
        <v>2</v>
      </c>
    </row>
    <row r="71" spans="2:10" s="142" customFormat="1" ht="18" customHeight="1" x14ac:dyDescent="0.3">
      <c r="B71" s="164" t="s">
        <v>1794</v>
      </c>
      <c r="C71" s="164" t="s">
        <v>1785</v>
      </c>
      <c r="D71" s="164" t="s">
        <v>1786</v>
      </c>
      <c r="E71" s="164" t="s">
        <v>1792</v>
      </c>
      <c r="F71" s="302">
        <v>77184</v>
      </c>
      <c r="G71" s="302">
        <v>68693.759999999995</v>
      </c>
      <c r="H71" s="302">
        <f t="shared" si="2"/>
        <v>8490.2400000000052</v>
      </c>
      <c r="I71" s="303">
        <v>0.255</v>
      </c>
      <c r="J71" s="304">
        <v>5</v>
      </c>
    </row>
    <row r="72" spans="2:10" s="142" customFormat="1" ht="18" customHeight="1" x14ac:dyDescent="0.3">
      <c r="B72" s="164" t="s">
        <v>1794</v>
      </c>
      <c r="C72" s="164" t="s">
        <v>1785</v>
      </c>
      <c r="D72" s="164" t="s">
        <v>1786</v>
      </c>
      <c r="E72" s="164" t="s">
        <v>1791</v>
      </c>
      <c r="F72" s="302">
        <v>52800</v>
      </c>
      <c r="G72" s="302">
        <v>59664</v>
      </c>
      <c r="H72" s="302">
        <f t="shared" ref="H72:H75" si="3">F72-G72</f>
        <v>-6864</v>
      </c>
      <c r="I72" s="303">
        <v>0.255</v>
      </c>
      <c r="J72" s="304">
        <v>8</v>
      </c>
    </row>
    <row r="73" spans="2:10" s="142" customFormat="1" ht="18" customHeight="1" x14ac:dyDescent="0.3">
      <c r="B73" s="164" t="s">
        <v>1794</v>
      </c>
      <c r="C73" s="164" t="s">
        <v>1783</v>
      </c>
      <c r="D73" s="164" t="s">
        <v>1787</v>
      </c>
      <c r="E73" s="164" t="s">
        <v>1778</v>
      </c>
      <c r="F73" s="302">
        <v>296700</v>
      </c>
      <c r="G73" s="302">
        <v>216591</v>
      </c>
      <c r="H73" s="302">
        <f t="shared" si="3"/>
        <v>80109</v>
      </c>
      <c r="I73" s="303">
        <v>0.23300000000000001</v>
      </c>
      <c r="J73" s="304">
        <v>1</v>
      </c>
    </row>
    <row r="74" spans="2:10" s="142" customFormat="1" ht="18" customHeight="1" x14ac:dyDescent="0.3">
      <c r="B74" s="164" t="s">
        <v>1794</v>
      </c>
      <c r="C74" s="164" t="s">
        <v>1783</v>
      </c>
      <c r="D74" s="164" t="s">
        <v>1787</v>
      </c>
      <c r="E74" s="164" t="s">
        <v>1791</v>
      </c>
      <c r="F74" s="302">
        <v>52800</v>
      </c>
      <c r="G74" s="302">
        <v>46992</v>
      </c>
      <c r="H74" s="302">
        <f t="shared" si="3"/>
        <v>5808</v>
      </c>
      <c r="I74" s="303">
        <v>0.187</v>
      </c>
      <c r="J74" s="304">
        <v>9</v>
      </c>
    </row>
    <row r="75" spans="2:10" s="142" customFormat="1" ht="18" customHeight="1" x14ac:dyDescent="0.3">
      <c r="B75" s="164" t="s">
        <v>1794</v>
      </c>
      <c r="C75" s="164" t="s">
        <v>1783</v>
      </c>
      <c r="D75" s="164" t="s">
        <v>1784</v>
      </c>
      <c r="E75" s="164" t="s">
        <v>1792</v>
      </c>
      <c r="F75" s="302">
        <v>57888</v>
      </c>
      <c r="G75" s="302">
        <v>55572.480000000003</v>
      </c>
      <c r="H75" s="302">
        <f t="shared" si="3"/>
        <v>2315.5199999999968</v>
      </c>
      <c r="I75" s="303">
        <v>0.187</v>
      </c>
      <c r="J75" s="304">
        <v>3</v>
      </c>
    </row>
    <row r="76" spans="2:10" s="309" customFormat="1" ht="18" customHeight="1" x14ac:dyDescent="0.3">
      <c r="B76" s="188"/>
      <c r="C76" s="188"/>
      <c r="D76" s="188"/>
      <c r="E76" s="188"/>
      <c r="F76" s="306"/>
      <c r="G76" s="306"/>
      <c r="H76" s="306"/>
      <c r="I76" s="307"/>
      <c r="J76" s="308"/>
    </row>
    <row r="77" spans="2:10" s="142" customFormat="1" ht="15.6" x14ac:dyDescent="0.3"/>
    <row r="78" spans="2:10" s="142" customFormat="1" ht="15.6" x14ac:dyDescent="0.3"/>
    <row r="79" spans="2:10" s="142" customFormat="1" ht="15.6" x14ac:dyDescent="0.3"/>
    <row r="80" spans="2:10" s="142" customFormat="1" ht="15.6" x14ac:dyDescent="0.3"/>
    <row r="81" spans="2:2" s="142" customFormat="1" ht="15.6" x14ac:dyDescent="0.3"/>
    <row r="82" spans="2:2" s="142" customFormat="1" ht="15.6" x14ac:dyDescent="0.3"/>
    <row r="83" spans="2:2" s="142" customFormat="1" ht="15.6" x14ac:dyDescent="0.3"/>
    <row r="84" spans="2:2" s="142" customFormat="1" ht="15.6" x14ac:dyDescent="0.3"/>
    <row r="85" spans="2:2" s="142" customFormat="1" ht="15.6" x14ac:dyDescent="0.3"/>
    <row r="86" spans="2:2" s="142" customFormat="1" ht="15.6" x14ac:dyDescent="0.3"/>
    <row r="87" spans="2:2" s="142" customFormat="1" ht="15.6" x14ac:dyDescent="0.3"/>
    <row r="88" spans="2:2" s="142" customFormat="1" ht="15.6" x14ac:dyDescent="0.3"/>
    <row r="89" spans="2:2" s="142" customFormat="1" ht="15.6" x14ac:dyDescent="0.3"/>
    <row r="90" spans="2:2" s="142" customFormat="1" ht="15.6" x14ac:dyDescent="0.3"/>
    <row r="91" spans="2:2" ht="14.4" x14ac:dyDescent="0.3">
      <c r="B91" s="3"/>
    </row>
    <row r="92" spans="2:2" ht="14.4" x14ac:dyDescent="0.3">
      <c r="B92" s="3"/>
    </row>
    <row r="93" spans="2:2" ht="14.4" x14ac:dyDescent="0.3">
      <c r="B93" s="3"/>
    </row>
    <row r="94" spans="2:2" ht="14.4" x14ac:dyDescent="0.3">
      <c r="B94" s="3"/>
    </row>
    <row r="95" spans="2:2" ht="14.4" x14ac:dyDescent="0.3">
      <c r="B95" s="3"/>
    </row>
    <row r="96" spans="2:2" ht="14.4" x14ac:dyDescent="0.3">
      <c r="B96" s="3"/>
    </row>
    <row r="97" spans="2:2" ht="14.4" x14ac:dyDescent="0.3">
      <c r="B97" s="3"/>
    </row>
    <row r="98" spans="2:2" ht="14.4" x14ac:dyDescent="0.3">
      <c r="B98" s="3"/>
    </row>
    <row r="99" spans="2:2" ht="14.4" x14ac:dyDescent="0.3">
      <c r="B99" s="3"/>
    </row>
    <row r="100" spans="2:2" ht="14.4" x14ac:dyDescent="0.3">
      <c r="B100" s="3"/>
    </row>
    <row r="101" spans="2:2" ht="14.4" x14ac:dyDescent="0.3">
      <c r="B101" s="3"/>
    </row>
    <row r="102" spans="2:2" ht="14.4" x14ac:dyDescent="0.3">
      <c r="B102" s="3"/>
    </row>
    <row r="103" spans="2:2" ht="14.4" x14ac:dyDescent="0.3">
      <c r="B103" s="3"/>
    </row>
    <row r="104" spans="2:2" ht="14.4" x14ac:dyDescent="0.3">
      <c r="B104" s="3"/>
    </row>
    <row r="105" spans="2:2" ht="14.4" x14ac:dyDescent="0.3">
      <c r="B105" s="3"/>
    </row>
    <row r="106" spans="2:2" ht="14.4" x14ac:dyDescent="0.3">
      <c r="B106" s="3"/>
    </row>
    <row r="107" spans="2:2" ht="14.4" x14ac:dyDescent="0.3">
      <c r="B107" s="3"/>
    </row>
    <row r="108" spans="2:2" ht="14.4" x14ac:dyDescent="0.3">
      <c r="B108" s="3"/>
    </row>
    <row r="109" spans="2:2" ht="14.4" x14ac:dyDescent="0.3">
      <c r="B109" s="3"/>
    </row>
    <row r="110" spans="2:2" ht="14.4" x14ac:dyDescent="0.3">
      <c r="B110" s="3"/>
    </row>
    <row r="111" spans="2:2" ht="14.4" x14ac:dyDescent="0.3">
      <c r="B111" s="3"/>
    </row>
    <row r="112" spans="2:2" ht="14.4" x14ac:dyDescent="0.3">
      <c r="B112" s="3"/>
    </row>
    <row r="113" spans="2:2" ht="14.4" x14ac:dyDescent="0.3">
      <c r="B113" s="3"/>
    </row>
    <row r="114" spans="2:2" ht="14.4" x14ac:dyDescent="0.3">
      <c r="B114" s="3"/>
    </row>
    <row r="115" spans="2:2" ht="14.4" x14ac:dyDescent="0.3">
      <c r="B115" s="3"/>
    </row>
    <row r="116" spans="2:2" ht="14.4" x14ac:dyDescent="0.3">
      <c r="B116" s="3"/>
    </row>
    <row r="117" spans="2:2" ht="14.4" x14ac:dyDescent="0.3">
      <c r="B117" s="3"/>
    </row>
    <row r="118" spans="2:2" ht="14.4" x14ac:dyDescent="0.3">
      <c r="B118" s="3"/>
    </row>
    <row r="119" spans="2:2" ht="14.4" x14ac:dyDescent="0.3">
      <c r="B119" s="3"/>
    </row>
    <row r="120" spans="2:2" ht="14.4" x14ac:dyDescent="0.3">
      <c r="B120" s="3"/>
    </row>
    <row r="121" spans="2:2" ht="14.4" x14ac:dyDescent="0.3">
      <c r="B121" s="3"/>
    </row>
    <row r="122" spans="2:2" ht="14.4" x14ac:dyDescent="0.3">
      <c r="B122" s="3"/>
    </row>
    <row r="123" spans="2:2" ht="14.4" x14ac:dyDescent="0.3">
      <c r="B123" s="3"/>
    </row>
    <row r="124" spans="2:2" ht="14.4" x14ac:dyDescent="0.3">
      <c r="B124" s="3"/>
    </row>
    <row r="125" spans="2:2" ht="14.4" x14ac:dyDescent="0.3">
      <c r="B125" s="3"/>
    </row>
    <row r="126" spans="2:2" ht="14.4" x14ac:dyDescent="0.3">
      <c r="B126" s="3"/>
    </row>
    <row r="127" spans="2:2" ht="14.4" x14ac:dyDescent="0.3">
      <c r="B127" s="3"/>
    </row>
    <row r="128" spans="2:2" ht="14.4" x14ac:dyDescent="0.3">
      <c r="B128" s="3"/>
    </row>
    <row r="129" spans="2:2" ht="14.4" x14ac:dyDescent="0.3">
      <c r="B129" s="3"/>
    </row>
    <row r="130" spans="2:2" ht="14.4" x14ac:dyDescent="0.3">
      <c r="B130" s="3"/>
    </row>
    <row r="131" spans="2:2" ht="14.4" x14ac:dyDescent="0.3">
      <c r="B131" s="3"/>
    </row>
    <row r="132" spans="2:2" ht="14.4" x14ac:dyDescent="0.3">
      <c r="B132" s="3"/>
    </row>
    <row r="133" spans="2:2" ht="14.4" x14ac:dyDescent="0.3">
      <c r="B133" s="3"/>
    </row>
    <row r="134" spans="2:2" ht="14.4" x14ac:dyDescent="0.3">
      <c r="B134" s="3"/>
    </row>
    <row r="135" spans="2:2" ht="14.4" x14ac:dyDescent="0.3">
      <c r="B135" s="3"/>
    </row>
    <row r="136" spans="2:2" ht="14.4" x14ac:dyDescent="0.3">
      <c r="B136" s="3"/>
    </row>
    <row r="137" spans="2:2" ht="14.4" x14ac:dyDescent="0.3">
      <c r="B137" s="3"/>
    </row>
    <row r="138" spans="2:2" ht="14.4" x14ac:dyDescent="0.3">
      <c r="B138" s="3"/>
    </row>
    <row r="139" spans="2:2" ht="14.4" x14ac:dyDescent="0.3">
      <c r="B139" s="3"/>
    </row>
    <row r="140" spans="2:2" ht="14.4" x14ac:dyDescent="0.3">
      <c r="B140" s="3"/>
    </row>
    <row r="141" spans="2:2" ht="14.4" x14ac:dyDescent="0.3">
      <c r="B141" s="3"/>
    </row>
    <row r="142" spans="2:2" ht="14.4" x14ac:dyDescent="0.3">
      <c r="B142" s="3"/>
    </row>
    <row r="143" spans="2:2" ht="14.4" x14ac:dyDescent="0.3">
      <c r="B143" s="3"/>
    </row>
    <row r="144" spans="2:2" ht="14.4" x14ac:dyDescent="0.3">
      <c r="B144" s="3"/>
    </row>
    <row r="145" spans="2:2" ht="14.4" x14ac:dyDescent="0.3">
      <c r="B145" s="3"/>
    </row>
    <row r="146" spans="2:2" ht="14.4" x14ac:dyDescent="0.3">
      <c r="B146" s="3"/>
    </row>
    <row r="147" spans="2:2" ht="14.4" x14ac:dyDescent="0.3">
      <c r="B147" s="3"/>
    </row>
    <row r="148" spans="2:2" ht="14.4" x14ac:dyDescent="0.3">
      <c r="B148" s="3"/>
    </row>
    <row r="149" spans="2:2" ht="14.4" x14ac:dyDescent="0.3">
      <c r="B149" s="3"/>
    </row>
    <row r="150" spans="2:2" ht="14.4" x14ac:dyDescent="0.3">
      <c r="B150" s="3"/>
    </row>
    <row r="151" spans="2:2" ht="14.4" x14ac:dyDescent="0.3">
      <c r="B151" s="3"/>
    </row>
    <row r="152" spans="2:2" ht="14.4" x14ac:dyDescent="0.3">
      <c r="B152" s="3"/>
    </row>
    <row r="153" spans="2:2" ht="14.4" x14ac:dyDescent="0.3">
      <c r="B153" s="3"/>
    </row>
    <row r="154" spans="2:2" ht="14.4" x14ac:dyDescent="0.3">
      <c r="B154" s="3"/>
    </row>
    <row r="155" spans="2:2" ht="14.4" x14ac:dyDescent="0.3">
      <c r="B155" s="3"/>
    </row>
    <row r="156" spans="2:2" ht="14.4" x14ac:dyDescent="0.3">
      <c r="B156" s="3"/>
    </row>
    <row r="157" spans="2:2" ht="14.4" x14ac:dyDescent="0.3">
      <c r="B157" s="3"/>
    </row>
    <row r="158" spans="2:2" ht="14.4" x14ac:dyDescent="0.3">
      <c r="B158" s="3"/>
    </row>
    <row r="159" spans="2:2" ht="14.4" x14ac:dyDescent="0.3">
      <c r="B159" s="3"/>
    </row>
    <row r="160" spans="2:2" ht="14.4" x14ac:dyDescent="0.3">
      <c r="B160" s="3"/>
    </row>
    <row r="161" spans="2:2" ht="14.4" x14ac:dyDescent="0.3">
      <c r="B161" s="3"/>
    </row>
    <row r="162" spans="2:2" ht="14.4" x14ac:dyDescent="0.3">
      <c r="B162" s="3"/>
    </row>
    <row r="163" spans="2:2" ht="14.4" x14ac:dyDescent="0.3">
      <c r="B163" s="3"/>
    </row>
    <row r="164" spans="2:2" ht="14.4" x14ac:dyDescent="0.3">
      <c r="B164" s="3"/>
    </row>
    <row r="165" spans="2:2" ht="14.4" x14ac:dyDescent="0.3">
      <c r="B165" s="3"/>
    </row>
    <row r="166" spans="2:2" ht="14.4" x14ac:dyDescent="0.3">
      <c r="B166" s="3"/>
    </row>
    <row r="167" spans="2:2" ht="14.4" x14ac:dyDescent="0.3">
      <c r="B167" s="3"/>
    </row>
    <row r="168" spans="2:2" ht="14.4" x14ac:dyDescent="0.3">
      <c r="B168" s="3"/>
    </row>
    <row r="169" spans="2:2" ht="14.4" x14ac:dyDescent="0.3">
      <c r="B169" s="3"/>
    </row>
    <row r="170" spans="2:2" ht="14.4" x14ac:dyDescent="0.3">
      <c r="B170" s="3"/>
    </row>
    <row r="171" spans="2:2" ht="14.4" x14ac:dyDescent="0.3">
      <c r="B171" s="3"/>
    </row>
    <row r="172" spans="2:2" ht="14.4" x14ac:dyDescent="0.3">
      <c r="B172" s="3"/>
    </row>
    <row r="173" spans="2:2" ht="14.4" x14ac:dyDescent="0.3">
      <c r="B173" s="3"/>
    </row>
    <row r="174" spans="2:2" ht="14.4" x14ac:dyDescent="0.3">
      <c r="B174" s="3"/>
    </row>
    <row r="175" spans="2:2" ht="14.4" x14ac:dyDescent="0.3">
      <c r="B175" s="3"/>
    </row>
    <row r="176" spans="2:2" ht="14.4" x14ac:dyDescent="0.3">
      <c r="B176" s="3"/>
    </row>
    <row r="177" spans="2:2" ht="14.4" x14ac:dyDescent="0.3">
      <c r="B177" s="3"/>
    </row>
    <row r="178" spans="2:2" ht="14.4" x14ac:dyDescent="0.3">
      <c r="B178" s="3"/>
    </row>
    <row r="179" spans="2:2" ht="14.4" x14ac:dyDescent="0.3">
      <c r="B179" s="3"/>
    </row>
    <row r="180" spans="2:2" ht="14.4" x14ac:dyDescent="0.3">
      <c r="B180" s="3"/>
    </row>
    <row r="181" spans="2:2" ht="14.4" x14ac:dyDescent="0.3">
      <c r="B181" s="3"/>
    </row>
    <row r="182" spans="2:2" ht="14.4" x14ac:dyDescent="0.3">
      <c r="B182" s="3"/>
    </row>
    <row r="183" spans="2:2" ht="14.4" x14ac:dyDescent="0.3">
      <c r="B183" s="3"/>
    </row>
    <row r="184" spans="2:2" ht="14.4" x14ac:dyDescent="0.3">
      <c r="B184" s="3"/>
    </row>
    <row r="185" spans="2:2" ht="14.4" x14ac:dyDescent="0.3">
      <c r="B185" s="3"/>
    </row>
    <row r="186" spans="2:2" ht="14.4" x14ac:dyDescent="0.3">
      <c r="B186" s="3"/>
    </row>
    <row r="187" spans="2:2" ht="14.4" x14ac:dyDescent="0.3">
      <c r="B187" s="3"/>
    </row>
    <row r="188" spans="2:2" ht="14.4" x14ac:dyDescent="0.3">
      <c r="B188" s="3"/>
    </row>
    <row r="189" spans="2:2" ht="14.4" x14ac:dyDescent="0.3">
      <c r="B189" s="3"/>
    </row>
    <row r="190" spans="2:2" ht="14.4" x14ac:dyDescent="0.3">
      <c r="B190" s="3"/>
    </row>
    <row r="191" spans="2:2" ht="14.4" x14ac:dyDescent="0.3">
      <c r="B191" s="3"/>
    </row>
    <row r="192" spans="2:2" ht="14.4" x14ac:dyDescent="0.3">
      <c r="B192" s="3"/>
    </row>
    <row r="193" spans="2:2" ht="14.4" x14ac:dyDescent="0.3">
      <c r="B193" s="3"/>
    </row>
    <row r="194" spans="2:2" ht="14.4" x14ac:dyDescent="0.3">
      <c r="B194" s="3"/>
    </row>
    <row r="195" spans="2:2" ht="14.4" x14ac:dyDescent="0.3">
      <c r="B195" s="3"/>
    </row>
    <row r="196" spans="2:2" ht="14.4" x14ac:dyDescent="0.3">
      <c r="B196" s="3"/>
    </row>
    <row r="197" spans="2:2" ht="14.4" x14ac:dyDescent="0.3">
      <c r="B197" s="3"/>
    </row>
    <row r="198" spans="2:2" ht="14.4" x14ac:dyDescent="0.3">
      <c r="B198" s="3"/>
    </row>
    <row r="199" spans="2:2" ht="14.4" x14ac:dyDescent="0.3">
      <c r="B199" s="3"/>
    </row>
    <row r="200" spans="2:2" ht="14.4" x14ac:dyDescent="0.3">
      <c r="B200" s="3"/>
    </row>
    <row r="201" spans="2:2" ht="14.4" x14ac:dyDescent="0.3">
      <c r="B201" s="3"/>
    </row>
    <row r="202" spans="2:2" ht="14.4" x14ac:dyDescent="0.3">
      <c r="B202" s="3"/>
    </row>
  </sheetData>
  <sortState ref="B9:J76">
    <sortCondition ref="B9"/>
  </sortState>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
  <sheetViews>
    <sheetView showGridLines="0" workbookViewId="0">
      <selection activeCell="B5" sqref="B5"/>
    </sheetView>
  </sheetViews>
  <sheetFormatPr defaultColWidth="9.109375" defaultRowHeight="24.6" x14ac:dyDescent="0.4"/>
  <cols>
    <col min="1" max="1" width="3.44140625" style="3" customWidth="1"/>
    <col min="2" max="2" width="12.6640625" style="114" customWidth="1"/>
    <col min="3" max="9" width="15.88671875" style="3" customWidth="1"/>
    <col min="10" max="10" width="11.5546875" style="3" customWidth="1"/>
    <col min="11" max="26" width="10.33203125" style="3" customWidth="1"/>
    <col min="27" max="29" width="10" style="3" customWidth="1"/>
    <col min="30" max="16384" width="9.109375" style="3"/>
  </cols>
  <sheetData>
    <row r="1" spans="1:11" ht="30" x14ac:dyDescent="0.5">
      <c r="A1" s="113" t="s">
        <v>1758</v>
      </c>
      <c r="I1" s="114" t="s">
        <v>1768</v>
      </c>
      <c r="K1" s="633" t="s">
        <v>3016</v>
      </c>
    </row>
    <row r="2" spans="1:11" ht="30" x14ac:dyDescent="0.5">
      <c r="A2" s="115" t="s">
        <v>421</v>
      </c>
      <c r="E2" s="311">
        <f>DMAX(B7:J75,J7,I1:I2)</f>
        <v>9</v>
      </c>
      <c r="I2" s="114" t="s">
        <v>1769</v>
      </c>
    </row>
    <row r="4" spans="1:11" ht="17.399999999999999" x14ac:dyDescent="0.3">
      <c r="B4" s="119" t="s">
        <v>1770</v>
      </c>
      <c r="C4" s="120"/>
      <c r="D4" s="120"/>
      <c r="E4" s="120"/>
      <c r="F4" s="121"/>
      <c r="G4" s="121"/>
      <c r="H4" s="121"/>
      <c r="I4" s="120"/>
      <c r="J4" s="122"/>
    </row>
    <row r="5" spans="1:11" ht="17.399999999999999" x14ac:dyDescent="0.3">
      <c r="B5" s="123" t="s">
        <v>3012</v>
      </c>
      <c r="C5" s="124"/>
      <c r="D5" s="124"/>
      <c r="E5" s="124"/>
      <c r="F5" s="125"/>
      <c r="G5" s="125"/>
      <c r="H5" s="125"/>
      <c r="I5" s="124"/>
      <c r="J5" s="126"/>
    </row>
    <row r="6" spans="1:11" ht="17.399999999999999" hidden="1" x14ac:dyDescent="0.3">
      <c r="B6" s="127"/>
      <c r="C6" s="128"/>
      <c r="D6" s="128"/>
      <c r="E6" s="128"/>
      <c r="F6" s="129"/>
      <c r="G6" s="129"/>
      <c r="H6" s="129"/>
      <c r="I6" s="128"/>
    </row>
    <row r="7" spans="1:11" ht="39" customHeight="1" thickBot="1" x14ac:dyDescent="0.35">
      <c r="B7" s="130" t="s">
        <v>1768</v>
      </c>
      <c r="C7" s="130" t="s">
        <v>176</v>
      </c>
      <c r="D7" s="130" t="s">
        <v>175</v>
      </c>
      <c r="E7" s="130" t="s">
        <v>264</v>
      </c>
      <c r="F7" s="131" t="s">
        <v>1771</v>
      </c>
      <c r="G7" s="131" t="s">
        <v>1772</v>
      </c>
      <c r="H7" s="132" t="s">
        <v>1773</v>
      </c>
      <c r="I7" s="133" t="s">
        <v>1774</v>
      </c>
      <c r="J7" s="133" t="s">
        <v>1775</v>
      </c>
    </row>
    <row r="8" spans="1:11" ht="18" customHeight="1" x14ac:dyDescent="0.3">
      <c r="B8" s="134" t="s">
        <v>1769</v>
      </c>
      <c r="C8" s="134" t="s">
        <v>1776</v>
      </c>
      <c r="D8" s="134" t="s">
        <v>1777</v>
      </c>
      <c r="E8" s="134" t="s">
        <v>1778</v>
      </c>
      <c r="F8" s="135">
        <v>47520</v>
      </c>
      <c r="G8" s="135">
        <v>45619.199999999997</v>
      </c>
      <c r="H8" s="135">
        <f t="shared" ref="H8:H71" si="0">F8-G8</f>
        <v>1900.8000000000029</v>
      </c>
      <c r="I8" s="136">
        <v>0.247</v>
      </c>
      <c r="J8" s="137">
        <v>6</v>
      </c>
    </row>
    <row r="9" spans="1:11" ht="18" customHeight="1" x14ac:dyDescent="0.3">
      <c r="B9" s="134" t="s">
        <v>1769</v>
      </c>
      <c r="C9" s="134" t="s">
        <v>1776</v>
      </c>
      <c r="D9" s="134" t="s">
        <v>1777</v>
      </c>
      <c r="E9" s="134" t="s">
        <v>1779</v>
      </c>
      <c r="F9" s="135">
        <v>91463.039999999994</v>
      </c>
      <c r="G9" s="135">
        <v>72255.801599999992</v>
      </c>
      <c r="H9" s="135">
        <f t="shared" si="0"/>
        <v>19207.238400000002</v>
      </c>
      <c r="I9" s="136">
        <v>0.35599999999999998</v>
      </c>
      <c r="J9" s="137">
        <v>8</v>
      </c>
    </row>
    <row r="10" spans="1:11" ht="18" customHeight="1" x14ac:dyDescent="0.3">
      <c r="B10" s="134" t="s">
        <v>1769</v>
      </c>
      <c r="C10" s="134" t="s">
        <v>1776</v>
      </c>
      <c r="D10" s="134" t="s">
        <v>1777</v>
      </c>
      <c r="E10" s="134" t="s">
        <v>1778</v>
      </c>
      <c r="F10" s="135">
        <v>356040</v>
      </c>
      <c r="G10" s="135">
        <v>259909.2</v>
      </c>
      <c r="H10" s="135">
        <f t="shared" si="0"/>
        <v>96130.799999999988</v>
      </c>
      <c r="I10" s="136">
        <v>0.255</v>
      </c>
      <c r="J10" s="137">
        <v>2</v>
      </c>
    </row>
    <row r="11" spans="1:11" ht="18" customHeight="1" x14ac:dyDescent="0.3">
      <c r="B11" s="134" t="s">
        <v>1769</v>
      </c>
      <c r="C11" s="134" t="s">
        <v>1776</v>
      </c>
      <c r="D11" s="134" t="s">
        <v>1777</v>
      </c>
      <c r="E11" s="134" t="s">
        <v>1779</v>
      </c>
      <c r="F11" s="135">
        <v>154275.84</v>
      </c>
      <c r="G11" s="135">
        <v>143476.5312</v>
      </c>
      <c r="H11" s="135">
        <f t="shared" si="0"/>
        <v>10799.308799999999</v>
      </c>
      <c r="I11" s="136">
        <v>0.65</v>
      </c>
      <c r="J11" s="137">
        <v>9</v>
      </c>
    </row>
    <row r="12" spans="1:11" ht="18" customHeight="1" x14ac:dyDescent="0.3">
      <c r="B12" s="134" t="s">
        <v>1769</v>
      </c>
      <c r="C12" s="134" t="s">
        <v>1776</v>
      </c>
      <c r="D12" s="134" t="s">
        <v>1777</v>
      </c>
      <c r="E12" s="134" t="s">
        <v>1778</v>
      </c>
      <c r="F12" s="135">
        <v>113923.584</v>
      </c>
      <c r="G12" s="135">
        <v>93417.338879999996</v>
      </c>
      <c r="H12" s="135">
        <f t="shared" si="0"/>
        <v>20506.245120000007</v>
      </c>
      <c r="I12" s="136">
        <v>0.255</v>
      </c>
      <c r="J12" s="137">
        <v>6</v>
      </c>
    </row>
    <row r="13" spans="1:11" ht="18" customHeight="1" x14ac:dyDescent="0.3">
      <c r="B13" s="134" t="s">
        <v>1769</v>
      </c>
      <c r="C13" s="134" t="s">
        <v>1776</v>
      </c>
      <c r="D13" s="134" t="s">
        <v>1780</v>
      </c>
      <c r="E13" s="134" t="s">
        <v>1779</v>
      </c>
      <c r="F13" s="135">
        <v>94936.320000000007</v>
      </c>
      <c r="G13" s="135">
        <v>77847.782399999996</v>
      </c>
      <c r="H13" s="135">
        <f t="shared" si="0"/>
        <v>17088.537600000011</v>
      </c>
      <c r="I13" s="136">
        <v>0.315</v>
      </c>
      <c r="J13" s="137">
        <v>9</v>
      </c>
    </row>
    <row r="14" spans="1:11" ht="18" customHeight="1" x14ac:dyDescent="0.3">
      <c r="B14" s="134" t="s">
        <v>1769</v>
      </c>
      <c r="C14" s="134" t="s">
        <v>1776</v>
      </c>
      <c r="D14" s="134" t="s">
        <v>1780</v>
      </c>
      <c r="E14" s="134" t="s">
        <v>1778</v>
      </c>
      <c r="F14" s="135">
        <v>90305.279999999999</v>
      </c>
      <c r="G14" s="135">
        <v>70438.118399999992</v>
      </c>
      <c r="H14" s="135">
        <f t="shared" si="0"/>
        <v>19867.161600000007</v>
      </c>
      <c r="I14" s="136">
        <v>0.255</v>
      </c>
      <c r="J14" s="137"/>
    </row>
    <row r="15" spans="1:11" ht="18" customHeight="1" x14ac:dyDescent="0.3">
      <c r="B15" s="134" t="s">
        <v>1769</v>
      </c>
      <c r="C15" s="134" t="s">
        <v>1776</v>
      </c>
      <c r="D15" s="134" t="s">
        <v>1780</v>
      </c>
      <c r="E15" s="134" t="s">
        <v>1779</v>
      </c>
      <c r="F15" s="135">
        <v>394275.84000000003</v>
      </c>
      <c r="G15" s="135">
        <v>366676.53120000003</v>
      </c>
      <c r="H15" s="135">
        <f t="shared" si="0"/>
        <v>27599.308799999999</v>
      </c>
      <c r="I15" s="136">
        <v>0.154</v>
      </c>
      <c r="J15" s="137">
        <v>0</v>
      </c>
    </row>
    <row r="16" spans="1:11" ht="18" customHeight="1" x14ac:dyDescent="0.3">
      <c r="B16" s="134" t="s">
        <v>1769</v>
      </c>
      <c r="C16" s="134" t="s">
        <v>1776</v>
      </c>
      <c r="D16" s="134" t="s">
        <v>1780</v>
      </c>
      <c r="E16" s="134" t="s">
        <v>1778</v>
      </c>
      <c r="F16" s="135">
        <v>116121.60000000001</v>
      </c>
      <c r="G16" s="135">
        <v>84768.767999999996</v>
      </c>
      <c r="H16" s="135">
        <f t="shared" si="0"/>
        <v>31352.832000000009</v>
      </c>
      <c r="I16" s="136">
        <v>0.13400000000000001</v>
      </c>
      <c r="J16" s="137">
        <v>3</v>
      </c>
    </row>
    <row r="17" spans="2:10" ht="18" customHeight="1" x14ac:dyDescent="0.3">
      <c r="B17" s="134" t="s">
        <v>1769</v>
      </c>
      <c r="C17" s="134" t="s">
        <v>1776</v>
      </c>
      <c r="D17" s="134" t="s">
        <v>1781</v>
      </c>
      <c r="E17" s="134" t="s">
        <v>1778</v>
      </c>
      <c r="F17" s="135">
        <v>92620.800000000003</v>
      </c>
      <c r="G17" s="135">
        <v>82432.511999999988</v>
      </c>
      <c r="H17" s="135">
        <f t="shared" si="0"/>
        <v>10188.288000000015</v>
      </c>
      <c r="I17" s="136">
        <v>0.187</v>
      </c>
      <c r="J17" s="137">
        <v>3</v>
      </c>
    </row>
    <row r="18" spans="2:10" ht="18" customHeight="1" x14ac:dyDescent="0.3">
      <c r="B18" s="134" t="s">
        <v>1769</v>
      </c>
      <c r="C18" s="134" t="s">
        <v>1776</v>
      </c>
      <c r="D18" s="134" t="s">
        <v>1781</v>
      </c>
      <c r="E18" s="134" t="s">
        <v>1779</v>
      </c>
      <c r="F18" s="135">
        <v>69465.600000000006</v>
      </c>
      <c r="G18" s="135">
        <v>66686.975999999995</v>
      </c>
      <c r="H18" s="135">
        <f t="shared" si="0"/>
        <v>2778.6240000000107</v>
      </c>
      <c r="I18" s="136">
        <v>0.54400000000000004</v>
      </c>
      <c r="J18" s="137">
        <v>9</v>
      </c>
    </row>
    <row r="19" spans="2:10" ht="18" customHeight="1" x14ac:dyDescent="0.3">
      <c r="B19" s="134" t="s">
        <v>1769</v>
      </c>
      <c r="C19" s="134" t="s">
        <v>1776</v>
      </c>
      <c r="D19" s="134" t="s">
        <v>1781</v>
      </c>
      <c r="E19" s="134" t="s">
        <v>1778</v>
      </c>
      <c r="F19" s="135">
        <v>261004.79999999999</v>
      </c>
      <c r="G19" s="135">
        <v>221854.07999999999</v>
      </c>
      <c r="H19" s="135">
        <f t="shared" si="0"/>
        <v>39150.720000000001</v>
      </c>
      <c r="I19" s="136">
        <v>0.23300000000000001</v>
      </c>
      <c r="J19" s="137">
        <v>6</v>
      </c>
    </row>
    <row r="20" spans="2:10" ht="18" customHeight="1" x14ac:dyDescent="0.3">
      <c r="B20" s="134" t="s">
        <v>1769</v>
      </c>
      <c r="C20" s="134" t="s">
        <v>1776</v>
      </c>
      <c r="D20" s="134" t="s">
        <v>1781</v>
      </c>
      <c r="E20" s="134" t="s">
        <v>1779</v>
      </c>
      <c r="F20" s="135">
        <v>57024</v>
      </c>
      <c r="G20" s="135">
        <v>54743.040000000001</v>
      </c>
      <c r="H20" s="135">
        <f t="shared" si="0"/>
        <v>2280.9599999999991</v>
      </c>
      <c r="I20" s="136">
        <v>0.56399999999999995</v>
      </c>
      <c r="J20" s="137">
        <v>8</v>
      </c>
    </row>
    <row r="21" spans="2:10" ht="18" customHeight="1" x14ac:dyDescent="0.3">
      <c r="B21" s="134" t="s">
        <v>1782</v>
      </c>
      <c r="C21" s="134" t="s">
        <v>1783</v>
      </c>
      <c r="D21" s="134" t="s">
        <v>1784</v>
      </c>
      <c r="E21" s="134" t="s">
        <v>1779</v>
      </c>
      <c r="F21" s="135">
        <v>181988</v>
      </c>
      <c r="G21" s="135">
        <v>205646.44</v>
      </c>
      <c r="H21" s="135">
        <f t="shared" si="0"/>
        <v>-23658.440000000002</v>
      </c>
      <c r="I21" s="136">
        <v>0.432</v>
      </c>
      <c r="J21" s="137">
        <v>2</v>
      </c>
    </row>
    <row r="22" spans="2:10" ht="18" customHeight="1" x14ac:dyDescent="0.3">
      <c r="B22" s="134" t="s">
        <v>1782</v>
      </c>
      <c r="C22" s="134" t="s">
        <v>1783</v>
      </c>
      <c r="D22" s="134" t="s">
        <v>1784</v>
      </c>
      <c r="E22" s="134" t="s">
        <v>1779</v>
      </c>
      <c r="F22" s="135">
        <v>121197.6</v>
      </c>
      <c r="G22" s="135">
        <v>112713.76800000001</v>
      </c>
      <c r="H22" s="135">
        <f t="shared" si="0"/>
        <v>8483.8319999999949</v>
      </c>
      <c r="I22" s="136">
        <v>0.154</v>
      </c>
      <c r="J22" s="137">
        <v>4</v>
      </c>
    </row>
    <row r="23" spans="2:10" ht="18" customHeight="1" x14ac:dyDescent="0.3">
      <c r="B23" s="134" t="s">
        <v>1782</v>
      </c>
      <c r="C23" s="134" t="s">
        <v>1783</v>
      </c>
      <c r="D23" s="134" t="s">
        <v>1784</v>
      </c>
      <c r="E23" s="134" t="s">
        <v>1778</v>
      </c>
      <c r="F23" s="135">
        <v>432900</v>
      </c>
      <c r="G23" s="135">
        <v>367965</v>
      </c>
      <c r="H23" s="135">
        <f t="shared" si="0"/>
        <v>64935</v>
      </c>
      <c r="I23" s="136">
        <v>0.247</v>
      </c>
      <c r="J23" s="137">
        <v>2</v>
      </c>
    </row>
    <row r="24" spans="2:10" ht="18" customHeight="1" x14ac:dyDescent="0.3">
      <c r="B24" s="134" t="s">
        <v>1782</v>
      </c>
      <c r="C24" s="134" t="s">
        <v>1783</v>
      </c>
      <c r="D24" s="134" t="s">
        <v>1784</v>
      </c>
      <c r="E24" s="134" t="s">
        <v>1778</v>
      </c>
      <c r="F24" s="135">
        <v>96768</v>
      </c>
      <c r="G24" s="135">
        <v>70640.639999999999</v>
      </c>
      <c r="H24" s="135">
        <f t="shared" si="0"/>
        <v>26127.360000000001</v>
      </c>
      <c r="I24" s="136">
        <v>0.318</v>
      </c>
      <c r="J24" s="137">
        <v>2</v>
      </c>
    </row>
    <row r="25" spans="2:10" ht="18" customHeight="1" x14ac:dyDescent="0.3">
      <c r="B25" s="134" t="s">
        <v>1782</v>
      </c>
      <c r="C25" s="134" t="s">
        <v>1785</v>
      </c>
      <c r="D25" s="134" t="s">
        <v>1786</v>
      </c>
      <c r="E25" s="134" t="s">
        <v>1779</v>
      </c>
      <c r="F25" s="135">
        <v>121197.6</v>
      </c>
      <c r="G25" s="135">
        <v>112713.76800000001</v>
      </c>
      <c r="H25" s="135">
        <f t="shared" si="0"/>
        <v>8483.8319999999949</v>
      </c>
      <c r="I25" s="136">
        <v>0.45</v>
      </c>
      <c r="J25" s="137">
        <v>13</v>
      </c>
    </row>
    <row r="26" spans="2:10" ht="18" customHeight="1" x14ac:dyDescent="0.3">
      <c r="B26" s="134" t="s">
        <v>1782</v>
      </c>
      <c r="C26" s="134" t="s">
        <v>1785</v>
      </c>
      <c r="D26" s="134" t="s">
        <v>1786</v>
      </c>
      <c r="E26" s="134" t="s">
        <v>1779</v>
      </c>
      <c r="F26" s="135">
        <v>121197.6</v>
      </c>
      <c r="G26" s="135">
        <v>112713.76800000001</v>
      </c>
      <c r="H26" s="135">
        <f t="shared" si="0"/>
        <v>8483.8319999999949</v>
      </c>
      <c r="I26" s="136">
        <v>0.23300000000000001</v>
      </c>
      <c r="J26" s="137"/>
    </row>
    <row r="27" spans="2:10" ht="18" customHeight="1" x14ac:dyDescent="0.3">
      <c r="B27" s="134" t="s">
        <v>1782</v>
      </c>
      <c r="C27" s="134" t="s">
        <v>1785</v>
      </c>
      <c r="D27" s="134" t="s">
        <v>1786</v>
      </c>
      <c r="E27" s="134" t="s">
        <v>1779</v>
      </c>
      <c r="F27" s="135">
        <v>110772</v>
      </c>
      <c r="G27" s="135">
        <v>94156.2</v>
      </c>
      <c r="H27" s="135">
        <f t="shared" si="0"/>
        <v>16615.800000000003</v>
      </c>
      <c r="I27" s="136">
        <v>0.39800000000000002</v>
      </c>
      <c r="J27" s="137">
        <v>9</v>
      </c>
    </row>
    <row r="28" spans="2:10" ht="18" customHeight="1" x14ac:dyDescent="0.3">
      <c r="B28" s="134" t="s">
        <v>1782</v>
      </c>
      <c r="C28" s="134" t="s">
        <v>1783</v>
      </c>
      <c r="D28" s="134" t="s">
        <v>1787</v>
      </c>
      <c r="E28" s="134" t="s">
        <v>1778</v>
      </c>
      <c r="F28" s="135">
        <v>128563.2</v>
      </c>
      <c r="G28" s="135">
        <v>119563.776</v>
      </c>
      <c r="H28" s="135">
        <f t="shared" si="0"/>
        <v>8999.4239999999991</v>
      </c>
      <c r="I28" s="136">
        <v>0.39800000000000002</v>
      </c>
      <c r="J28" s="137">
        <v>8</v>
      </c>
    </row>
    <row r="29" spans="2:10" ht="18" customHeight="1" x14ac:dyDescent="0.3">
      <c r="B29" s="134" t="s">
        <v>1782</v>
      </c>
      <c r="C29" s="134" t="s">
        <v>1783</v>
      </c>
      <c r="D29" s="134" t="s">
        <v>1787</v>
      </c>
      <c r="E29" s="134" t="s">
        <v>1778</v>
      </c>
      <c r="F29" s="135">
        <v>128563.2</v>
      </c>
      <c r="G29" s="135">
        <v>119563.776</v>
      </c>
      <c r="H29" s="135">
        <f t="shared" si="0"/>
        <v>8999.4239999999991</v>
      </c>
      <c r="I29" s="136">
        <v>0.23300000000000001</v>
      </c>
      <c r="J29" s="137">
        <v>1</v>
      </c>
    </row>
    <row r="30" spans="2:10" ht="18" customHeight="1" x14ac:dyDescent="0.3">
      <c r="B30" s="134" t="s">
        <v>1782</v>
      </c>
      <c r="C30" s="134" t="s">
        <v>1783</v>
      </c>
      <c r="D30" s="134" t="s">
        <v>1788</v>
      </c>
      <c r="E30" s="134" t="s">
        <v>1778</v>
      </c>
      <c r="F30" s="135">
        <v>76032</v>
      </c>
      <c r="G30" s="135">
        <v>75271.679999999993</v>
      </c>
      <c r="H30" s="135">
        <f t="shared" si="0"/>
        <v>760.32000000000698</v>
      </c>
      <c r="I30" s="136">
        <v>0.65</v>
      </c>
      <c r="J30" s="137">
        <v>0</v>
      </c>
    </row>
    <row r="31" spans="2:10" ht="18" customHeight="1" x14ac:dyDescent="0.3">
      <c r="B31" s="134" t="s">
        <v>1782</v>
      </c>
      <c r="C31" s="134" t="s">
        <v>1785</v>
      </c>
      <c r="D31" s="134" t="s">
        <v>1789</v>
      </c>
      <c r="E31" s="134" t="s">
        <v>1779</v>
      </c>
      <c r="F31" s="135">
        <v>110772</v>
      </c>
      <c r="G31" s="135">
        <v>125172.36</v>
      </c>
      <c r="H31" s="135">
        <f t="shared" si="0"/>
        <v>-14400.36</v>
      </c>
      <c r="I31" s="136">
        <v>0.23300000000000001</v>
      </c>
      <c r="J31" s="137"/>
    </row>
    <row r="32" spans="2:10" ht="18" customHeight="1" x14ac:dyDescent="0.3">
      <c r="B32" s="134" t="s">
        <v>1782</v>
      </c>
      <c r="C32" s="134" t="s">
        <v>1785</v>
      </c>
      <c r="D32" s="134" t="s">
        <v>1789</v>
      </c>
      <c r="E32" s="134" t="s">
        <v>1779</v>
      </c>
      <c r="F32" s="135">
        <v>110772</v>
      </c>
      <c r="G32" s="135">
        <v>125172.36</v>
      </c>
      <c r="H32" s="135">
        <f t="shared" si="0"/>
        <v>-14400.36</v>
      </c>
      <c r="I32" s="136">
        <v>0.318</v>
      </c>
      <c r="J32" s="137">
        <v>1</v>
      </c>
    </row>
    <row r="33" spans="2:10" ht="18" customHeight="1" x14ac:dyDescent="0.3">
      <c r="B33" s="134" t="s">
        <v>1782</v>
      </c>
      <c r="C33" s="134" t="s">
        <v>1785</v>
      </c>
      <c r="D33" s="134" t="s">
        <v>1789</v>
      </c>
      <c r="E33" s="134" t="s">
        <v>1779</v>
      </c>
      <c r="F33" s="135">
        <v>91224</v>
      </c>
      <c r="G33" s="135">
        <v>66593.52</v>
      </c>
      <c r="H33" s="135">
        <f t="shared" si="0"/>
        <v>24630.479999999996</v>
      </c>
      <c r="I33" s="136">
        <v>0.65</v>
      </c>
      <c r="J33" s="137">
        <v>6</v>
      </c>
    </row>
    <row r="34" spans="2:10" ht="18" customHeight="1" x14ac:dyDescent="0.3">
      <c r="B34" s="134" t="s">
        <v>1782</v>
      </c>
      <c r="C34" s="134" t="s">
        <v>1785</v>
      </c>
      <c r="D34" s="134" t="s">
        <v>1789</v>
      </c>
      <c r="E34" s="134" t="s">
        <v>1779</v>
      </c>
      <c r="F34" s="135">
        <v>91224</v>
      </c>
      <c r="G34" s="135">
        <v>127713.60000000001</v>
      </c>
      <c r="H34" s="135">
        <f t="shared" si="0"/>
        <v>-36489.600000000006</v>
      </c>
      <c r="I34" s="136">
        <v>0.247</v>
      </c>
      <c r="J34" s="137">
        <v>4</v>
      </c>
    </row>
    <row r="35" spans="2:10" ht="18" customHeight="1" x14ac:dyDescent="0.3">
      <c r="B35" s="134" t="s">
        <v>1782</v>
      </c>
      <c r="C35" s="134" t="s">
        <v>1785</v>
      </c>
      <c r="D35" s="134" t="s">
        <v>1789</v>
      </c>
      <c r="E35" s="134" t="s">
        <v>1779</v>
      </c>
      <c r="F35" s="135">
        <v>71676</v>
      </c>
      <c r="G35" s="135">
        <v>70959.240000000005</v>
      </c>
      <c r="H35" s="135">
        <f t="shared" si="0"/>
        <v>716.75999999999476</v>
      </c>
      <c r="I35" s="136">
        <v>0.13400000000000001</v>
      </c>
      <c r="J35" s="137">
        <v>9</v>
      </c>
    </row>
    <row r="36" spans="2:10" ht="18" customHeight="1" x14ac:dyDescent="0.3">
      <c r="B36" s="134" t="s">
        <v>1782</v>
      </c>
      <c r="C36" s="134" t="s">
        <v>1785</v>
      </c>
      <c r="D36" s="134" t="s">
        <v>1789</v>
      </c>
      <c r="E36" s="134" t="s">
        <v>1778</v>
      </c>
      <c r="F36" s="135">
        <v>217504</v>
      </c>
      <c r="G36" s="135">
        <v>184878.4</v>
      </c>
      <c r="H36" s="135">
        <f t="shared" si="0"/>
        <v>32625.600000000006</v>
      </c>
      <c r="I36" s="136">
        <v>0.23300000000000001</v>
      </c>
      <c r="J36" s="137">
        <v>9</v>
      </c>
    </row>
    <row r="37" spans="2:10" ht="18" customHeight="1" x14ac:dyDescent="0.3">
      <c r="B37" s="134" t="s">
        <v>1782</v>
      </c>
      <c r="C37" s="134" t="s">
        <v>1785</v>
      </c>
      <c r="D37" s="134" t="s">
        <v>1789</v>
      </c>
      <c r="E37" s="134" t="s">
        <v>1778</v>
      </c>
      <c r="F37" s="135">
        <v>128563.2</v>
      </c>
      <c r="G37" s="135">
        <v>119563.776</v>
      </c>
      <c r="H37" s="135">
        <f t="shared" si="0"/>
        <v>8999.4239999999991</v>
      </c>
      <c r="I37" s="136">
        <v>0.154</v>
      </c>
      <c r="J37" s="137">
        <v>3</v>
      </c>
    </row>
    <row r="38" spans="2:10" ht="18" customHeight="1" x14ac:dyDescent="0.3">
      <c r="B38" s="134" t="s">
        <v>1790</v>
      </c>
      <c r="C38" s="134" t="s">
        <v>1776</v>
      </c>
      <c r="D38" s="134" t="s">
        <v>1777</v>
      </c>
      <c r="E38" s="134" t="s">
        <v>1791</v>
      </c>
      <c r="F38" s="135">
        <v>94936.320000000007</v>
      </c>
      <c r="G38" s="135">
        <v>77847.782399999996</v>
      </c>
      <c r="H38" s="135">
        <f t="shared" si="0"/>
        <v>17088.537600000011</v>
      </c>
      <c r="I38" s="136">
        <v>0.56399999999999995</v>
      </c>
      <c r="J38" s="137">
        <v>8</v>
      </c>
    </row>
    <row r="39" spans="2:10" ht="18" customHeight="1" x14ac:dyDescent="0.3">
      <c r="B39" s="134" t="s">
        <v>1790</v>
      </c>
      <c r="C39" s="134" t="s">
        <v>1776</v>
      </c>
      <c r="D39" s="134" t="s">
        <v>1777</v>
      </c>
      <c r="E39" s="134" t="s">
        <v>1792</v>
      </c>
      <c r="F39" s="135">
        <v>90305.279999999999</v>
      </c>
      <c r="G39" s="135">
        <v>70438.118399999992</v>
      </c>
      <c r="H39" s="135">
        <f t="shared" si="0"/>
        <v>19867.161600000007</v>
      </c>
      <c r="I39" s="138">
        <v>0.26500000000000001</v>
      </c>
      <c r="J39" s="137">
        <v>2</v>
      </c>
    </row>
    <row r="40" spans="2:10" ht="18" customHeight="1" x14ac:dyDescent="0.3">
      <c r="B40" s="134" t="s">
        <v>1790</v>
      </c>
      <c r="C40" s="134" t="s">
        <v>1776</v>
      </c>
      <c r="D40" s="134" t="s">
        <v>1777</v>
      </c>
      <c r="E40" s="134" t="s">
        <v>1791</v>
      </c>
      <c r="F40" s="135">
        <v>519480</v>
      </c>
      <c r="G40" s="135">
        <v>441558</v>
      </c>
      <c r="H40" s="135">
        <f t="shared" si="0"/>
        <v>77922</v>
      </c>
      <c r="I40" s="136">
        <v>0.39800000000000002</v>
      </c>
      <c r="J40" s="137">
        <v>6</v>
      </c>
    </row>
    <row r="41" spans="2:10" ht="18" customHeight="1" x14ac:dyDescent="0.3">
      <c r="B41" s="134" t="s">
        <v>1790</v>
      </c>
      <c r="C41" s="134" t="s">
        <v>1776</v>
      </c>
      <c r="D41" s="134" t="s">
        <v>1777</v>
      </c>
      <c r="E41" s="134" t="s">
        <v>1792</v>
      </c>
      <c r="F41" s="135">
        <v>91238.399999999994</v>
      </c>
      <c r="G41" s="135">
        <v>90326.015999999989</v>
      </c>
      <c r="H41" s="135">
        <f t="shared" si="0"/>
        <v>912.38400000000547</v>
      </c>
      <c r="I41" s="136">
        <v>0.315</v>
      </c>
      <c r="J41" s="137">
        <v>9</v>
      </c>
    </row>
    <row r="42" spans="2:10" ht="18" customHeight="1" x14ac:dyDescent="0.3">
      <c r="B42" s="134" t="s">
        <v>1790</v>
      </c>
      <c r="C42" s="134" t="s">
        <v>1776</v>
      </c>
      <c r="D42" s="134" t="s">
        <v>1780</v>
      </c>
      <c r="E42" s="134" t="s">
        <v>1792</v>
      </c>
      <c r="F42" s="135">
        <v>92620.800000000003</v>
      </c>
      <c r="G42" s="135">
        <v>104661.504</v>
      </c>
      <c r="H42" s="135">
        <f t="shared" si="0"/>
        <v>-12040.703999999998</v>
      </c>
      <c r="I42" s="136">
        <v>0.255</v>
      </c>
      <c r="J42" s="137">
        <v>9</v>
      </c>
    </row>
    <row r="43" spans="2:10" ht="18" customHeight="1" x14ac:dyDescent="0.3">
      <c r="B43" s="134" t="s">
        <v>1790</v>
      </c>
      <c r="C43" s="134" t="s">
        <v>1776</v>
      </c>
      <c r="D43" s="134" t="s">
        <v>1780</v>
      </c>
      <c r="E43" s="134" t="s">
        <v>1791</v>
      </c>
      <c r="F43" s="135">
        <v>69465.600000000006</v>
      </c>
      <c r="G43" s="135">
        <v>66686.975999999995</v>
      </c>
      <c r="H43" s="135">
        <f t="shared" si="0"/>
        <v>2778.6240000000107</v>
      </c>
      <c r="I43" s="136">
        <v>0.56399999999999995</v>
      </c>
      <c r="J43" s="137">
        <v>8</v>
      </c>
    </row>
    <row r="44" spans="2:10" ht="18" customHeight="1" x14ac:dyDescent="0.3">
      <c r="B44" s="134" t="s">
        <v>1790</v>
      </c>
      <c r="C44" s="134" t="s">
        <v>1776</v>
      </c>
      <c r="D44" s="134" t="s">
        <v>1780</v>
      </c>
      <c r="E44" s="134" t="s">
        <v>1792</v>
      </c>
      <c r="F44" s="135">
        <v>154275.84</v>
      </c>
      <c r="G44" s="135">
        <v>143476.5312</v>
      </c>
      <c r="H44" s="135">
        <f t="shared" si="0"/>
        <v>10799.308799999999</v>
      </c>
      <c r="I44" s="136">
        <v>0.318</v>
      </c>
      <c r="J44" s="137">
        <v>4</v>
      </c>
    </row>
    <row r="45" spans="2:10" ht="18" customHeight="1" x14ac:dyDescent="0.3">
      <c r="B45" s="134" t="s">
        <v>1790</v>
      </c>
      <c r="C45" s="134" t="s">
        <v>1776</v>
      </c>
      <c r="D45" s="134" t="s">
        <v>1780</v>
      </c>
      <c r="E45" s="134" t="s">
        <v>1791</v>
      </c>
      <c r="F45" s="135">
        <v>113923.584</v>
      </c>
      <c r="G45" s="135">
        <v>93417.338879999996</v>
      </c>
      <c r="H45" s="135">
        <f t="shared" si="0"/>
        <v>20506.245120000007</v>
      </c>
      <c r="I45" s="136">
        <v>0.187</v>
      </c>
      <c r="J45" s="137">
        <v>5</v>
      </c>
    </row>
    <row r="46" spans="2:10" ht="18" customHeight="1" x14ac:dyDescent="0.3">
      <c r="B46" s="134" t="s">
        <v>1790</v>
      </c>
      <c r="C46" s="134" t="s">
        <v>1776</v>
      </c>
      <c r="D46" s="134" t="s">
        <v>1781</v>
      </c>
      <c r="E46" s="134" t="s">
        <v>1792</v>
      </c>
      <c r="F46" s="135">
        <v>94936.320000000007</v>
      </c>
      <c r="G46" s="135">
        <v>77847.782399999996</v>
      </c>
      <c r="H46" s="135">
        <f t="shared" si="0"/>
        <v>17088.537600000011</v>
      </c>
      <c r="I46" s="136">
        <v>0.13400000000000001</v>
      </c>
      <c r="J46" s="137">
        <v>4</v>
      </c>
    </row>
    <row r="47" spans="2:10" ht="18" customHeight="1" x14ac:dyDescent="0.3">
      <c r="B47" s="134" t="s">
        <v>1790</v>
      </c>
      <c r="C47" s="134" t="s">
        <v>1776</v>
      </c>
      <c r="D47" s="134" t="s">
        <v>1781</v>
      </c>
      <c r="E47" s="134" t="s">
        <v>1791</v>
      </c>
      <c r="F47" s="135">
        <v>91463.039999999994</v>
      </c>
      <c r="G47" s="135">
        <v>72255.801599999992</v>
      </c>
      <c r="H47" s="135">
        <f t="shared" si="0"/>
        <v>19207.238400000002</v>
      </c>
      <c r="I47" s="136">
        <v>0.27600000000000002</v>
      </c>
      <c r="J47" s="137">
        <v>5</v>
      </c>
    </row>
    <row r="48" spans="2:10" ht="18" customHeight="1" x14ac:dyDescent="0.3">
      <c r="B48" s="134" t="s">
        <v>1790</v>
      </c>
      <c r="C48" s="134" t="s">
        <v>1776</v>
      </c>
      <c r="D48" s="134" t="s">
        <v>1781</v>
      </c>
      <c r="E48" s="134" t="s">
        <v>1792</v>
      </c>
      <c r="F48" s="135">
        <v>1447185.6</v>
      </c>
      <c r="G48" s="135">
        <v>1287995.1840000001</v>
      </c>
      <c r="H48" s="135">
        <f t="shared" si="0"/>
        <v>159190.41599999997</v>
      </c>
      <c r="I48" s="136">
        <v>0.23300000000000001</v>
      </c>
      <c r="J48" s="137">
        <v>9</v>
      </c>
    </row>
    <row r="49" spans="2:10" ht="18" customHeight="1" x14ac:dyDescent="0.3">
      <c r="B49" s="134" t="s">
        <v>1790</v>
      </c>
      <c r="C49" s="134" t="s">
        <v>1776</v>
      </c>
      <c r="D49" s="134" t="s">
        <v>1781</v>
      </c>
      <c r="E49" s="134" t="s">
        <v>1791</v>
      </c>
      <c r="F49" s="135">
        <v>154275.84</v>
      </c>
      <c r="G49" s="135">
        <v>143476.5312</v>
      </c>
      <c r="H49" s="135">
        <f t="shared" si="0"/>
        <v>10799.308799999999</v>
      </c>
      <c r="I49" s="136">
        <v>0.247</v>
      </c>
      <c r="J49" s="137">
        <v>8</v>
      </c>
    </row>
    <row r="50" spans="2:10" ht="18" customHeight="1" x14ac:dyDescent="0.3">
      <c r="B50" s="134" t="s">
        <v>1790</v>
      </c>
      <c r="C50" s="134" t="s">
        <v>1776</v>
      </c>
      <c r="D50" s="134" t="s">
        <v>1781</v>
      </c>
      <c r="E50" s="134" t="s">
        <v>1792</v>
      </c>
      <c r="F50" s="135">
        <v>113923.584</v>
      </c>
      <c r="G50" s="135">
        <v>93417.338879999996</v>
      </c>
      <c r="H50" s="135">
        <f t="shared" si="0"/>
        <v>20506.245120000007</v>
      </c>
      <c r="I50" s="136">
        <v>0.35599999999999998</v>
      </c>
      <c r="J50" s="137">
        <v>2</v>
      </c>
    </row>
    <row r="51" spans="2:10" ht="18" customHeight="1" x14ac:dyDescent="0.3">
      <c r="B51" s="134" t="s">
        <v>1793</v>
      </c>
      <c r="C51" s="134" t="s">
        <v>1783</v>
      </c>
      <c r="D51" s="134" t="s">
        <v>1784</v>
      </c>
      <c r="E51" s="134" t="s">
        <v>1778</v>
      </c>
      <c r="F51" s="135">
        <v>1205988</v>
      </c>
      <c r="G51" s="135">
        <v>1073329.32</v>
      </c>
      <c r="H51" s="135">
        <f t="shared" si="0"/>
        <v>132658.67999999993</v>
      </c>
      <c r="I51" s="136">
        <v>0.432</v>
      </c>
      <c r="J51" s="137">
        <v>10</v>
      </c>
    </row>
    <row r="52" spans="2:10" ht="18" customHeight="1" x14ac:dyDescent="0.3">
      <c r="B52" s="134" t="s">
        <v>1793</v>
      </c>
      <c r="C52" s="134" t="s">
        <v>1783</v>
      </c>
      <c r="D52" s="134" t="s">
        <v>1784</v>
      </c>
      <c r="E52" s="134" t="s">
        <v>1778</v>
      </c>
      <c r="F52" s="135">
        <f>128563.2+200000</f>
        <v>328563.20000000001</v>
      </c>
      <c r="G52" s="135">
        <v>305563.77600000001</v>
      </c>
      <c r="H52" s="135">
        <f t="shared" si="0"/>
        <v>22999.423999999999</v>
      </c>
      <c r="I52" s="138">
        <v>0.39800000000000002</v>
      </c>
      <c r="J52" s="137">
        <v>3</v>
      </c>
    </row>
    <row r="53" spans="2:10" ht="18" customHeight="1" x14ac:dyDescent="0.3">
      <c r="B53" s="134" t="s">
        <v>1794</v>
      </c>
      <c r="C53" s="134" t="s">
        <v>1783</v>
      </c>
      <c r="D53" s="134" t="s">
        <v>1784</v>
      </c>
      <c r="E53" s="134" t="s">
        <v>1779</v>
      </c>
      <c r="F53" s="135">
        <v>71676</v>
      </c>
      <c r="G53" s="135">
        <v>70959.240000000005</v>
      </c>
      <c r="H53" s="135">
        <f t="shared" si="0"/>
        <v>716.75999999999476</v>
      </c>
      <c r="I53" s="136">
        <v>0.53300000000000003</v>
      </c>
      <c r="J53" s="137">
        <v>1</v>
      </c>
    </row>
    <row r="54" spans="2:10" ht="18" customHeight="1" x14ac:dyDescent="0.3">
      <c r="B54" s="134" t="s">
        <v>1794</v>
      </c>
      <c r="C54" s="134" t="s">
        <v>1783</v>
      </c>
      <c r="D54" s="134" t="s">
        <v>1784</v>
      </c>
      <c r="E54" s="134" t="s">
        <v>1791</v>
      </c>
      <c r="F54" s="135">
        <v>51480</v>
      </c>
      <c r="G54" s="135">
        <v>58172.4</v>
      </c>
      <c r="H54" s="135">
        <f t="shared" si="0"/>
        <v>-6692.4000000000015</v>
      </c>
      <c r="I54" s="138">
        <v>0.26500000000000001</v>
      </c>
      <c r="J54" s="137">
        <v>9</v>
      </c>
    </row>
    <row r="55" spans="2:10" ht="18" customHeight="1" x14ac:dyDescent="0.3">
      <c r="B55" s="134" t="s">
        <v>1794</v>
      </c>
      <c r="C55" s="134" t="s">
        <v>1783</v>
      </c>
      <c r="D55" s="134" t="s">
        <v>1784</v>
      </c>
      <c r="E55" s="134" t="s">
        <v>1791</v>
      </c>
      <c r="F55" s="135">
        <v>39600</v>
      </c>
      <c r="G55" s="135">
        <v>38016</v>
      </c>
      <c r="H55" s="135">
        <f t="shared" si="0"/>
        <v>1584</v>
      </c>
      <c r="I55" s="136">
        <v>0.56399999999999995</v>
      </c>
      <c r="J55" s="137">
        <v>2</v>
      </c>
    </row>
    <row r="56" spans="2:10" ht="18" customHeight="1" x14ac:dyDescent="0.3">
      <c r="B56" s="134" t="s">
        <v>1794</v>
      </c>
      <c r="C56" s="134" t="s">
        <v>1783</v>
      </c>
      <c r="D56" s="134" t="s">
        <v>1784</v>
      </c>
      <c r="E56" s="134" t="s">
        <v>1792</v>
      </c>
      <c r="F56" s="135">
        <v>79113.600000000006</v>
      </c>
      <c r="G56" s="135">
        <v>64873.152000000002</v>
      </c>
      <c r="H56" s="135">
        <f t="shared" si="0"/>
        <v>14240.448000000004</v>
      </c>
      <c r="I56" s="136">
        <v>0.27600000000000002</v>
      </c>
      <c r="J56" s="137">
        <v>0</v>
      </c>
    </row>
    <row r="57" spans="2:10" ht="18" customHeight="1" x14ac:dyDescent="0.3">
      <c r="B57" s="134" t="s">
        <v>1794</v>
      </c>
      <c r="C57" s="134" t="s">
        <v>1783</v>
      </c>
      <c r="D57" s="134" t="s">
        <v>1784</v>
      </c>
      <c r="E57" s="134" t="s">
        <v>1792</v>
      </c>
      <c r="F57" s="135">
        <v>79113.600000000006</v>
      </c>
      <c r="G57" s="135">
        <v>64873.152000000002</v>
      </c>
      <c r="H57" s="135">
        <f t="shared" si="0"/>
        <v>14240.448000000004</v>
      </c>
      <c r="I57" s="136">
        <v>0.54400000000000004</v>
      </c>
      <c r="J57" s="137">
        <v>6</v>
      </c>
    </row>
    <row r="58" spans="2:10" ht="18" customHeight="1" x14ac:dyDescent="0.3">
      <c r="B58" s="134" t="s">
        <v>1794</v>
      </c>
      <c r="C58" s="134" t="s">
        <v>1783</v>
      </c>
      <c r="D58" s="134" t="s">
        <v>1784</v>
      </c>
      <c r="E58" s="134" t="s">
        <v>1792</v>
      </c>
      <c r="F58" s="135">
        <v>57888</v>
      </c>
      <c r="G58" s="135">
        <v>55572.480000000003</v>
      </c>
      <c r="H58" s="135">
        <f t="shared" si="0"/>
        <v>2315.5199999999968</v>
      </c>
      <c r="I58" s="136">
        <v>0.315</v>
      </c>
      <c r="J58" s="137">
        <v>5</v>
      </c>
    </row>
    <row r="59" spans="2:10" ht="18" customHeight="1" x14ac:dyDescent="0.3">
      <c r="B59" s="134" t="s">
        <v>1794</v>
      </c>
      <c r="C59" s="134" t="s">
        <v>1783</v>
      </c>
      <c r="D59" s="134" t="s">
        <v>1784</v>
      </c>
      <c r="E59" s="134" t="s">
        <v>1792</v>
      </c>
      <c r="F59" s="135">
        <v>57888</v>
      </c>
      <c r="G59" s="135">
        <v>55572.480000000003</v>
      </c>
      <c r="H59" s="135">
        <f t="shared" si="0"/>
        <v>2315.5199999999968</v>
      </c>
      <c r="I59" s="136">
        <v>0.187</v>
      </c>
      <c r="J59" s="137">
        <v>3</v>
      </c>
    </row>
    <row r="60" spans="2:10" ht="18" customHeight="1" x14ac:dyDescent="0.3">
      <c r="B60" s="134" t="s">
        <v>1794</v>
      </c>
      <c r="C60" s="134" t="s">
        <v>1785</v>
      </c>
      <c r="D60" s="134" t="s">
        <v>1786</v>
      </c>
      <c r="E60" s="134" t="s">
        <v>1791</v>
      </c>
      <c r="F60" s="135">
        <v>52800</v>
      </c>
      <c r="G60" s="135">
        <v>59664</v>
      </c>
      <c r="H60" s="135">
        <f t="shared" si="0"/>
        <v>-6864</v>
      </c>
      <c r="I60" s="136">
        <v>0.255</v>
      </c>
      <c r="J60" s="137">
        <v>8</v>
      </c>
    </row>
    <row r="61" spans="2:10" ht="18" customHeight="1" x14ac:dyDescent="0.3">
      <c r="B61" s="134" t="s">
        <v>1794</v>
      </c>
      <c r="C61" s="134" t="s">
        <v>1785</v>
      </c>
      <c r="D61" s="134" t="s">
        <v>1786</v>
      </c>
      <c r="E61" s="134" t="s">
        <v>1791</v>
      </c>
      <c r="F61" s="135">
        <v>52140</v>
      </c>
      <c r="G61" s="135">
        <v>41190.6</v>
      </c>
      <c r="H61" s="135">
        <f t="shared" si="0"/>
        <v>10949.400000000001</v>
      </c>
      <c r="I61" s="136">
        <v>0.35599999999999998</v>
      </c>
      <c r="J61" s="137">
        <v>5</v>
      </c>
    </row>
    <row r="62" spans="2:10" ht="18" customHeight="1" x14ac:dyDescent="0.3">
      <c r="B62" s="134" t="s">
        <v>1794</v>
      </c>
      <c r="C62" s="134" t="s">
        <v>1785</v>
      </c>
      <c r="D62" s="134" t="s">
        <v>1786</v>
      </c>
      <c r="E62" s="134" t="s">
        <v>1791</v>
      </c>
      <c r="F62" s="135">
        <v>52140</v>
      </c>
      <c r="G62" s="135">
        <v>41190.6</v>
      </c>
      <c r="H62" s="135">
        <f t="shared" si="0"/>
        <v>10949.400000000001</v>
      </c>
      <c r="I62" s="136">
        <v>0.27600000000000002</v>
      </c>
      <c r="J62" s="137">
        <v>6</v>
      </c>
    </row>
    <row r="63" spans="2:10" ht="18" customHeight="1" x14ac:dyDescent="0.3">
      <c r="B63" s="134" t="s">
        <v>1794</v>
      </c>
      <c r="C63" s="134" t="s">
        <v>1785</v>
      </c>
      <c r="D63" s="134" t="s">
        <v>1786</v>
      </c>
      <c r="E63" s="134" t="s">
        <v>1792</v>
      </c>
      <c r="F63" s="135">
        <v>77184</v>
      </c>
      <c r="G63" s="135">
        <v>68693.759999999995</v>
      </c>
      <c r="H63" s="135">
        <f t="shared" si="0"/>
        <v>8490.2400000000052</v>
      </c>
      <c r="I63" s="136">
        <v>0.255</v>
      </c>
      <c r="J63" s="137">
        <v>5</v>
      </c>
    </row>
    <row r="64" spans="2:10" ht="18" customHeight="1" x14ac:dyDescent="0.3">
      <c r="B64" s="134" t="s">
        <v>1794</v>
      </c>
      <c r="C64" s="134" t="s">
        <v>1785</v>
      </c>
      <c r="D64" s="134" t="s">
        <v>1786</v>
      </c>
      <c r="E64" s="134" t="s">
        <v>1792</v>
      </c>
      <c r="F64" s="135">
        <v>77184</v>
      </c>
      <c r="G64" s="135">
        <v>87217.919999999998</v>
      </c>
      <c r="H64" s="135">
        <f t="shared" si="0"/>
        <v>-10033.919999999998</v>
      </c>
      <c r="I64" s="136">
        <v>0.56399999999999995</v>
      </c>
      <c r="J64" s="137">
        <v>5</v>
      </c>
    </row>
    <row r="65" spans="2:10" ht="18" customHeight="1" x14ac:dyDescent="0.3">
      <c r="B65" s="134" t="s">
        <v>1794</v>
      </c>
      <c r="C65" s="134" t="s">
        <v>1785</v>
      </c>
      <c r="D65" s="134" t="s">
        <v>1786</v>
      </c>
      <c r="E65" s="134" t="s">
        <v>1792</v>
      </c>
      <c r="F65" s="135">
        <v>76219.199999999997</v>
      </c>
      <c r="G65" s="135">
        <v>60213.167999999998</v>
      </c>
      <c r="H65" s="135">
        <f t="shared" si="0"/>
        <v>16006.031999999999</v>
      </c>
      <c r="I65" s="136">
        <v>0.54400000000000004</v>
      </c>
      <c r="J65" s="137">
        <v>1</v>
      </c>
    </row>
    <row r="66" spans="2:10" ht="18" customHeight="1" x14ac:dyDescent="0.3">
      <c r="B66" s="134" t="s">
        <v>1794</v>
      </c>
      <c r="C66" s="134" t="s">
        <v>1785</v>
      </c>
      <c r="D66" s="134" t="s">
        <v>1786</v>
      </c>
      <c r="E66" s="134" t="s">
        <v>1792</v>
      </c>
      <c r="F66" s="135">
        <v>75254.399999999994</v>
      </c>
      <c r="G66" s="135">
        <v>58698.432000000001</v>
      </c>
      <c r="H66" s="135">
        <f t="shared" si="0"/>
        <v>16555.967999999993</v>
      </c>
      <c r="I66" s="136">
        <v>0.255</v>
      </c>
      <c r="J66" s="137">
        <v>9</v>
      </c>
    </row>
    <row r="67" spans="2:10" ht="18" customHeight="1" x14ac:dyDescent="0.3">
      <c r="B67" s="134" t="s">
        <v>1794</v>
      </c>
      <c r="C67" s="134" t="s">
        <v>1783</v>
      </c>
      <c r="D67" s="134" t="s">
        <v>1787</v>
      </c>
      <c r="E67" s="134" t="s">
        <v>1791</v>
      </c>
      <c r="F67" s="135">
        <v>52800</v>
      </c>
      <c r="G67" s="135">
        <v>46992</v>
      </c>
      <c r="H67" s="135">
        <f t="shared" si="0"/>
        <v>5808</v>
      </c>
      <c r="I67" s="136">
        <v>0.187</v>
      </c>
      <c r="J67" s="137">
        <v>9</v>
      </c>
    </row>
    <row r="68" spans="2:10" ht="18" customHeight="1" x14ac:dyDescent="0.3">
      <c r="B68" s="134" t="s">
        <v>1794</v>
      </c>
      <c r="C68" s="134" t="s">
        <v>1783</v>
      </c>
      <c r="D68" s="134" t="s">
        <v>1787</v>
      </c>
      <c r="E68" s="134" t="s">
        <v>1792</v>
      </c>
      <c r="F68" s="135">
        <v>76219.199999999997</v>
      </c>
      <c r="G68" s="135">
        <v>60213.167999999998</v>
      </c>
      <c r="H68" s="135">
        <f t="shared" si="0"/>
        <v>16006.031999999999</v>
      </c>
      <c r="I68" s="136">
        <v>0.26500000000000001</v>
      </c>
      <c r="J68" s="137">
        <v>7</v>
      </c>
    </row>
    <row r="69" spans="2:10" ht="18" customHeight="1" x14ac:dyDescent="0.3">
      <c r="B69" s="134" t="s">
        <v>1794</v>
      </c>
      <c r="C69" s="134" t="s">
        <v>1783</v>
      </c>
      <c r="D69" s="134" t="s">
        <v>1787</v>
      </c>
      <c r="E69" s="134" t="s">
        <v>1792</v>
      </c>
      <c r="F69" s="135">
        <v>75254.399999999994</v>
      </c>
      <c r="G69" s="135">
        <v>58698.432000000001</v>
      </c>
      <c r="H69" s="135">
        <f t="shared" si="0"/>
        <v>16555.967999999993</v>
      </c>
      <c r="I69" s="136">
        <v>0.35599999999999998</v>
      </c>
      <c r="J69" s="137">
        <v>5</v>
      </c>
    </row>
    <row r="70" spans="2:10" ht="18" customHeight="1" x14ac:dyDescent="0.3">
      <c r="B70" s="134" t="s">
        <v>1794</v>
      </c>
      <c r="C70" s="134" t="s">
        <v>1783</v>
      </c>
      <c r="D70" s="134" t="s">
        <v>1787</v>
      </c>
      <c r="E70" s="134" t="s">
        <v>1778</v>
      </c>
      <c r="F70" s="135">
        <v>296700</v>
      </c>
      <c r="G70" s="135">
        <v>216591</v>
      </c>
      <c r="H70" s="135">
        <f t="shared" si="0"/>
        <v>80109</v>
      </c>
      <c r="I70" s="136">
        <v>0.23300000000000001</v>
      </c>
      <c r="J70" s="137">
        <v>1</v>
      </c>
    </row>
    <row r="71" spans="2:10" ht="18" customHeight="1" x14ac:dyDescent="0.3">
      <c r="B71" s="134" t="s">
        <v>1794</v>
      </c>
      <c r="C71" s="134" t="s">
        <v>1785</v>
      </c>
      <c r="D71" s="134" t="s">
        <v>1789</v>
      </c>
      <c r="E71" s="134" t="s">
        <v>1791</v>
      </c>
      <c r="F71" s="135">
        <v>54120</v>
      </c>
      <c r="G71" s="135">
        <v>44378.400000000001</v>
      </c>
      <c r="H71" s="135">
        <f t="shared" si="0"/>
        <v>9741.5999999999985</v>
      </c>
      <c r="I71" s="136">
        <v>0.315</v>
      </c>
      <c r="J71" s="137">
        <v>8</v>
      </c>
    </row>
    <row r="72" spans="2:10" ht="18" customHeight="1" x14ac:dyDescent="0.3">
      <c r="B72" s="134" t="s">
        <v>1794</v>
      </c>
      <c r="C72" s="134" t="s">
        <v>1785</v>
      </c>
      <c r="D72" s="134" t="s">
        <v>1789</v>
      </c>
      <c r="E72" s="134" t="s">
        <v>1791</v>
      </c>
      <c r="F72" s="135">
        <v>54120</v>
      </c>
      <c r="G72" s="135">
        <v>44378.400000000001</v>
      </c>
      <c r="H72" s="135">
        <f>F72-G72</f>
        <v>9741.5999999999985</v>
      </c>
      <c r="I72" s="136">
        <v>0.56399999999999995</v>
      </c>
      <c r="J72" s="137">
        <v>3</v>
      </c>
    </row>
    <row r="73" spans="2:10" ht="18" customHeight="1" x14ac:dyDescent="0.3">
      <c r="B73" s="134" t="s">
        <v>1794</v>
      </c>
      <c r="C73" s="134" t="s">
        <v>1785</v>
      </c>
      <c r="D73" s="134" t="s">
        <v>1789</v>
      </c>
      <c r="E73" s="134" t="s">
        <v>1791</v>
      </c>
      <c r="F73" s="135">
        <v>51480</v>
      </c>
      <c r="G73" s="135">
        <v>40154.400000000001</v>
      </c>
      <c r="H73" s="135">
        <f>F73-G73</f>
        <v>11325.599999999999</v>
      </c>
      <c r="I73" s="136">
        <v>0.255</v>
      </c>
      <c r="J73" s="137">
        <v>2</v>
      </c>
    </row>
    <row r="74" spans="2:10" ht="18" customHeight="1" x14ac:dyDescent="0.3">
      <c r="B74" s="134" t="s">
        <v>1794</v>
      </c>
      <c r="C74" s="134" t="s">
        <v>1785</v>
      </c>
      <c r="D74" s="134" t="s">
        <v>1789</v>
      </c>
      <c r="E74" s="134" t="s">
        <v>1791</v>
      </c>
      <c r="F74" s="135">
        <v>39600</v>
      </c>
      <c r="G74" s="135">
        <v>38016</v>
      </c>
      <c r="H74" s="135">
        <f>F74-G74</f>
        <v>1584</v>
      </c>
      <c r="I74" s="136">
        <v>0.54400000000000004</v>
      </c>
      <c r="J74" s="137">
        <v>8</v>
      </c>
    </row>
    <row r="75" spans="2:10" ht="18" customHeight="1" x14ac:dyDescent="0.3">
      <c r="B75" s="134" t="s">
        <v>1794</v>
      </c>
      <c r="C75" s="134" t="s">
        <v>1785</v>
      </c>
      <c r="D75" s="134" t="s">
        <v>1789</v>
      </c>
      <c r="E75" s="134" t="s">
        <v>1792</v>
      </c>
      <c r="F75" s="135">
        <v>79113.600000000006</v>
      </c>
      <c r="G75" s="135">
        <v>64873.152000000002</v>
      </c>
      <c r="H75" s="135">
        <f>F75-G75</f>
        <v>14240.448000000004</v>
      </c>
      <c r="I75" s="136">
        <v>0.255</v>
      </c>
      <c r="J75" s="137">
        <v>9</v>
      </c>
    </row>
    <row r="76" spans="2:10" s="315" customFormat="1" ht="18" customHeight="1" x14ac:dyDescent="0.3">
      <c r="B76" s="200"/>
      <c r="C76" s="200"/>
      <c r="D76" s="200"/>
      <c r="E76" s="200"/>
      <c r="F76" s="312"/>
      <c r="G76" s="312"/>
      <c r="H76" s="312"/>
      <c r="I76" s="313"/>
      <c r="J76" s="314"/>
    </row>
    <row r="77" spans="2:10" ht="14.4" x14ac:dyDescent="0.3">
      <c r="B77" s="3"/>
    </row>
    <row r="78" spans="2:10" ht="14.4" x14ac:dyDescent="0.3">
      <c r="B78" s="3"/>
    </row>
    <row r="79" spans="2:10" ht="14.4" x14ac:dyDescent="0.3">
      <c r="B79" s="3"/>
    </row>
    <row r="80" spans="2:10" ht="14.4" x14ac:dyDescent="0.3">
      <c r="B80" s="3"/>
    </row>
    <row r="81" spans="2:2" ht="14.4" x14ac:dyDescent="0.3">
      <c r="B81" s="3"/>
    </row>
    <row r="82" spans="2:2" ht="14.4" x14ac:dyDescent="0.3">
      <c r="B82" s="3"/>
    </row>
    <row r="83" spans="2:2" ht="14.4" x14ac:dyDescent="0.3">
      <c r="B83" s="3"/>
    </row>
    <row r="84" spans="2:2" ht="14.4" x14ac:dyDescent="0.3">
      <c r="B84" s="3"/>
    </row>
    <row r="85" spans="2:2" ht="14.4" x14ac:dyDescent="0.3">
      <c r="B85" s="3"/>
    </row>
    <row r="86" spans="2:2" ht="14.4" x14ac:dyDescent="0.3">
      <c r="B86" s="3"/>
    </row>
    <row r="87" spans="2:2" ht="14.4" x14ac:dyDescent="0.3">
      <c r="B87" s="3"/>
    </row>
    <row r="88" spans="2:2" ht="14.4" x14ac:dyDescent="0.3">
      <c r="B88" s="3"/>
    </row>
    <row r="89" spans="2:2" ht="14.4" x14ac:dyDescent="0.3">
      <c r="B89" s="3"/>
    </row>
    <row r="90" spans="2:2" ht="14.4" x14ac:dyDescent="0.3">
      <c r="B90" s="3"/>
    </row>
    <row r="91" spans="2:2" ht="14.4" x14ac:dyDescent="0.3">
      <c r="B91" s="3"/>
    </row>
    <row r="92" spans="2:2" ht="14.4" x14ac:dyDescent="0.3">
      <c r="B92" s="3"/>
    </row>
    <row r="93" spans="2:2" ht="14.4" x14ac:dyDescent="0.3">
      <c r="B93" s="3"/>
    </row>
    <row r="94" spans="2:2" ht="14.4" x14ac:dyDescent="0.3">
      <c r="B94" s="3"/>
    </row>
    <row r="95" spans="2:2" ht="14.4" x14ac:dyDescent="0.3">
      <c r="B95" s="3"/>
    </row>
    <row r="96" spans="2:2" ht="14.4" x14ac:dyDescent="0.3">
      <c r="B96" s="3"/>
    </row>
    <row r="97" spans="2:2" ht="14.4" x14ac:dyDescent="0.3">
      <c r="B97" s="3"/>
    </row>
    <row r="98" spans="2:2" ht="14.4" x14ac:dyDescent="0.3">
      <c r="B98" s="3"/>
    </row>
    <row r="99" spans="2:2" ht="14.4" x14ac:dyDescent="0.3">
      <c r="B99" s="3"/>
    </row>
    <row r="100" spans="2:2" ht="14.4" x14ac:dyDescent="0.3">
      <c r="B100" s="3"/>
    </row>
    <row r="101" spans="2:2" ht="14.4" x14ac:dyDescent="0.3">
      <c r="B101" s="3"/>
    </row>
    <row r="102" spans="2:2" ht="14.4" x14ac:dyDescent="0.3">
      <c r="B102" s="3"/>
    </row>
    <row r="103" spans="2:2" ht="14.4" x14ac:dyDescent="0.3">
      <c r="B103" s="3"/>
    </row>
    <row r="104" spans="2:2" ht="14.4" x14ac:dyDescent="0.3">
      <c r="B104" s="3"/>
    </row>
    <row r="105" spans="2:2" ht="14.4" x14ac:dyDescent="0.3">
      <c r="B105" s="3"/>
    </row>
    <row r="106" spans="2:2" ht="14.4" x14ac:dyDescent="0.3">
      <c r="B106" s="3"/>
    </row>
    <row r="107" spans="2:2" ht="14.4" x14ac:dyDescent="0.3">
      <c r="B107" s="3"/>
    </row>
    <row r="108" spans="2:2" ht="14.4" x14ac:dyDescent="0.3">
      <c r="B108" s="3"/>
    </row>
    <row r="109" spans="2:2" ht="14.4" x14ac:dyDescent="0.3">
      <c r="B109" s="3"/>
    </row>
    <row r="110" spans="2:2" ht="14.4" x14ac:dyDescent="0.3">
      <c r="B110" s="3"/>
    </row>
    <row r="111" spans="2:2" ht="14.4" x14ac:dyDescent="0.3">
      <c r="B111" s="3"/>
    </row>
    <row r="112" spans="2:2" ht="14.4" x14ac:dyDescent="0.3">
      <c r="B112" s="3"/>
    </row>
    <row r="113" spans="2:2" ht="14.4" x14ac:dyDescent="0.3">
      <c r="B113" s="3"/>
    </row>
    <row r="114" spans="2:2" ht="14.4" x14ac:dyDescent="0.3">
      <c r="B114" s="3"/>
    </row>
    <row r="115" spans="2:2" ht="14.4" x14ac:dyDescent="0.3">
      <c r="B115" s="3"/>
    </row>
    <row r="116" spans="2:2" ht="14.4" x14ac:dyDescent="0.3">
      <c r="B116" s="3"/>
    </row>
    <row r="117" spans="2:2" ht="14.4" x14ac:dyDescent="0.3">
      <c r="B117" s="3"/>
    </row>
    <row r="118" spans="2:2" ht="14.4" x14ac:dyDescent="0.3">
      <c r="B118" s="3"/>
    </row>
    <row r="119" spans="2:2" ht="14.4" x14ac:dyDescent="0.3">
      <c r="B119" s="3"/>
    </row>
    <row r="120" spans="2:2" ht="14.4" x14ac:dyDescent="0.3">
      <c r="B120" s="3"/>
    </row>
    <row r="121" spans="2:2" ht="14.4" x14ac:dyDescent="0.3">
      <c r="B121" s="3"/>
    </row>
    <row r="122" spans="2:2" ht="14.4" x14ac:dyDescent="0.3">
      <c r="B122" s="3"/>
    </row>
    <row r="123" spans="2:2" ht="14.4" x14ac:dyDescent="0.3">
      <c r="B123" s="3"/>
    </row>
    <row r="124" spans="2:2" ht="14.4" x14ac:dyDescent="0.3">
      <c r="B124" s="3"/>
    </row>
    <row r="125" spans="2:2" ht="14.4" x14ac:dyDescent="0.3">
      <c r="B125" s="3"/>
    </row>
    <row r="126" spans="2:2" ht="14.4" x14ac:dyDescent="0.3">
      <c r="B126" s="3"/>
    </row>
    <row r="127" spans="2:2" ht="14.4" x14ac:dyDescent="0.3">
      <c r="B127" s="3"/>
    </row>
    <row r="128" spans="2:2" ht="14.4" x14ac:dyDescent="0.3">
      <c r="B128" s="3"/>
    </row>
    <row r="129" spans="2:2" ht="14.4" x14ac:dyDescent="0.3">
      <c r="B129" s="3"/>
    </row>
    <row r="130" spans="2:2" ht="14.4" x14ac:dyDescent="0.3">
      <c r="B130" s="3"/>
    </row>
    <row r="131" spans="2:2" ht="14.4" x14ac:dyDescent="0.3">
      <c r="B131" s="3"/>
    </row>
    <row r="132" spans="2:2" ht="14.4" x14ac:dyDescent="0.3">
      <c r="B132" s="3"/>
    </row>
    <row r="133" spans="2:2" ht="14.4" x14ac:dyDescent="0.3">
      <c r="B133" s="3"/>
    </row>
    <row r="134" spans="2:2" ht="14.4" x14ac:dyDescent="0.3">
      <c r="B134" s="3"/>
    </row>
    <row r="135" spans="2:2" ht="14.4" x14ac:dyDescent="0.3">
      <c r="B135" s="3"/>
    </row>
    <row r="136" spans="2:2" ht="14.4" x14ac:dyDescent="0.3">
      <c r="B136" s="3"/>
    </row>
    <row r="137" spans="2:2" ht="14.4" x14ac:dyDescent="0.3">
      <c r="B137" s="3"/>
    </row>
    <row r="138" spans="2:2" ht="14.4" x14ac:dyDescent="0.3">
      <c r="B138" s="3"/>
    </row>
    <row r="139" spans="2:2" ht="14.4" x14ac:dyDescent="0.3">
      <c r="B139" s="3"/>
    </row>
    <row r="140" spans="2:2" ht="14.4" x14ac:dyDescent="0.3">
      <c r="B140" s="3"/>
    </row>
    <row r="141" spans="2:2" ht="14.4" x14ac:dyDescent="0.3">
      <c r="B141" s="3"/>
    </row>
    <row r="142" spans="2:2" ht="14.4" x14ac:dyDescent="0.3">
      <c r="B142" s="3"/>
    </row>
    <row r="143" spans="2:2" ht="14.4" x14ac:dyDescent="0.3">
      <c r="B143" s="3"/>
    </row>
    <row r="144" spans="2:2" ht="14.4" x14ac:dyDescent="0.3">
      <c r="B144" s="3"/>
    </row>
    <row r="145" spans="2:2" ht="14.4" x14ac:dyDescent="0.3">
      <c r="B145" s="3"/>
    </row>
    <row r="146" spans="2:2" ht="14.4" x14ac:dyDescent="0.3">
      <c r="B146" s="3"/>
    </row>
    <row r="147" spans="2:2" ht="14.4" x14ac:dyDescent="0.3">
      <c r="B147" s="3"/>
    </row>
    <row r="148" spans="2:2" ht="14.4" x14ac:dyDescent="0.3">
      <c r="B148" s="3"/>
    </row>
    <row r="149" spans="2:2" ht="14.4" x14ac:dyDescent="0.3">
      <c r="B149" s="3"/>
    </row>
    <row r="150" spans="2:2" ht="14.4" x14ac:dyDescent="0.3">
      <c r="B150" s="3"/>
    </row>
    <row r="151" spans="2:2" ht="14.4" x14ac:dyDescent="0.3">
      <c r="B151" s="3"/>
    </row>
    <row r="152" spans="2:2" ht="14.4" x14ac:dyDescent="0.3">
      <c r="B152" s="3"/>
    </row>
    <row r="153" spans="2:2" ht="14.4" x14ac:dyDescent="0.3">
      <c r="B153" s="3"/>
    </row>
    <row r="154" spans="2:2" ht="14.4" x14ac:dyDescent="0.3">
      <c r="B154" s="3"/>
    </row>
    <row r="155" spans="2:2" ht="14.4" x14ac:dyDescent="0.3">
      <c r="B155" s="3"/>
    </row>
    <row r="156" spans="2:2" ht="14.4" x14ac:dyDescent="0.3">
      <c r="B156" s="3"/>
    </row>
    <row r="157" spans="2:2" ht="14.4" x14ac:dyDescent="0.3">
      <c r="B157" s="3"/>
    </row>
    <row r="158" spans="2:2" ht="14.4" x14ac:dyDescent="0.3">
      <c r="B158" s="3"/>
    </row>
    <row r="159" spans="2:2" ht="14.4" x14ac:dyDescent="0.3">
      <c r="B159" s="3"/>
    </row>
    <row r="160" spans="2:2" ht="14.4" x14ac:dyDescent="0.3">
      <c r="B160" s="3"/>
    </row>
    <row r="161" spans="2:2" ht="14.4" x14ac:dyDescent="0.3">
      <c r="B161" s="3"/>
    </row>
    <row r="162" spans="2:2" ht="14.4" x14ac:dyDescent="0.3">
      <c r="B162" s="3"/>
    </row>
    <row r="163" spans="2:2" ht="14.4" x14ac:dyDescent="0.3">
      <c r="B163" s="3"/>
    </row>
    <row r="164" spans="2:2" ht="14.4" x14ac:dyDescent="0.3">
      <c r="B164" s="3"/>
    </row>
    <row r="165" spans="2:2" ht="14.4" x14ac:dyDescent="0.3">
      <c r="B165" s="3"/>
    </row>
    <row r="166" spans="2:2" ht="14.4" x14ac:dyDescent="0.3">
      <c r="B166" s="3"/>
    </row>
    <row r="167" spans="2:2" ht="14.4" x14ac:dyDescent="0.3">
      <c r="B167" s="3"/>
    </row>
    <row r="168" spans="2:2" ht="14.4" x14ac:dyDescent="0.3">
      <c r="B168" s="3"/>
    </row>
    <row r="169" spans="2:2" ht="14.4" x14ac:dyDescent="0.3">
      <c r="B169" s="3"/>
    </row>
    <row r="170" spans="2:2" ht="14.4" x14ac:dyDescent="0.3">
      <c r="B170" s="3"/>
    </row>
    <row r="171" spans="2:2" ht="14.4" x14ac:dyDescent="0.3">
      <c r="B171" s="3"/>
    </row>
    <row r="172" spans="2:2" ht="14.4" x14ac:dyDescent="0.3">
      <c r="B172" s="3"/>
    </row>
    <row r="173" spans="2:2" ht="14.4" x14ac:dyDescent="0.3">
      <c r="B173" s="3"/>
    </row>
    <row r="174" spans="2:2" ht="14.4" x14ac:dyDescent="0.3">
      <c r="B174" s="3"/>
    </row>
    <row r="175" spans="2:2" ht="14.4" x14ac:dyDescent="0.3">
      <c r="B175" s="3"/>
    </row>
    <row r="176" spans="2:2" ht="14.4" x14ac:dyDescent="0.3">
      <c r="B176" s="3"/>
    </row>
    <row r="177" spans="2:2" ht="14.4" x14ac:dyDescent="0.3">
      <c r="B177" s="3"/>
    </row>
    <row r="178" spans="2:2" ht="14.4" x14ac:dyDescent="0.3">
      <c r="B178" s="3"/>
    </row>
    <row r="179" spans="2:2" ht="14.4" x14ac:dyDescent="0.3">
      <c r="B179" s="3"/>
    </row>
    <row r="180" spans="2:2" ht="14.4" x14ac:dyDescent="0.3">
      <c r="B180" s="3"/>
    </row>
    <row r="181" spans="2:2" ht="14.4" x14ac:dyDescent="0.3">
      <c r="B181" s="3"/>
    </row>
    <row r="182" spans="2:2" ht="14.4" x14ac:dyDescent="0.3">
      <c r="B182" s="3"/>
    </row>
    <row r="183" spans="2:2" ht="14.4" x14ac:dyDescent="0.3">
      <c r="B183" s="3"/>
    </row>
    <row r="184" spans="2:2" ht="14.4" x14ac:dyDescent="0.3">
      <c r="B184" s="3"/>
    </row>
    <row r="185" spans="2:2" ht="14.4" x14ac:dyDescent="0.3">
      <c r="B185" s="3"/>
    </row>
    <row r="186" spans="2:2" ht="14.4" x14ac:dyDescent="0.3">
      <c r="B186" s="3"/>
    </row>
    <row r="187" spans="2:2" ht="14.4" x14ac:dyDescent="0.3">
      <c r="B187" s="3"/>
    </row>
    <row r="188" spans="2:2" ht="14.4" x14ac:dyDescent="0.3">
      <c r="B188" s="3"/>
    </row>
    <row r="189" spans="2:2" ht="14.4" x14ac:dyDescent="0.3">
      <c r="B189" s="3"/>
    </row>
    <row r="190" spans="2:2" ht="14.4" x14ac:dyDescent="0.3">
      <c r="B190" s="3"/>
    </row>
    <row r="191" spans="2:2" ht="14.4" x14ac:dyDescent="0.3">
      <c r="B191" s="3"/>
    </row>
    <row r="192" spans="2:2" ht="14.4" x14ac:dyDescent="0.3">
      <c r="B192" s="3"/>
    </row>
    <row r="193" spans="2:2" ht="14.4" x14ac:dyDescent="0.3">
      <c r="B193" s="3"/>
    </row>
    <row r="194" spans="2:2" ht="14.4" x14ac:dyDescent="0.3">
      <c r="B194" s="3"/>
    </row>
    <row r="195" spans="2:2" ht="14.4" x14ac:dyDescent="0.3">
      <c r="B195" s="3"/>
    </row>
    <row r="196" spans="2:2" ht="14.4" x14ac:dyDescent="0.3">
      <c r="B196" s="3"/>
    </row>
    <row r="197" spans="2:2" ht="14.4" x14ac:dyDescent="0.3">
      <c r="B197" s="3"/>
    </row>
    <row r="198" spans="2:2" ht="14.4" x14ac:dyDescent="0.3">
      <c r="B198" s="3"/>
    </row>
    <row r="199" spans="2:2" ht="14.4" x14ac:dyDescent="0.3">
      <c r="B199" s="3"/>
    </row>
    <row r="200" spans="2:2" ht="14.4" x14ac:dyDescent="0.3">
      <c r="B200" s="3"/>
    </row>
    <row r="201" spans="2:2" ht="14.4" x14ac:dyDescent="0.3">
      <c r="B201" s="3"/>
    </row>
    <row r="202" spans="2:2" ht="14.4" x14ac:dyDescent="0.3">
      <c r="B202" s="3"/>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4"/>
  <sheetViews>
    <sheetView showGridLines="0" workbookViewId="0">
      <selection activeCell="F4" sqref="F4"/>
    </sheetView>
  </sheetViews>
  <sheetFormatPr defaultColWidth="9.109375" defaultRowHeight="24.6" x14ac:dyDescent="0.4"/>
  <cols>
    <col min="1" max="1" width="3.44140625" style="3" customWidth="1"/>
    <col min="2" max="2" width="10.6640625" style="114" bestFit="1" customWidth="1"/>
    <col min="3" max="3" width="9.44140625" style="3" bestFit="1" customWidth="1"/>
    <col min="4" max="4" width="11.6640625" style="3" bestFit="1" customWidth="1"/>
    <col min="5" max="5" width="12.109375" style="3" bestFit="1" customWidth="1"/>
    <col min="6" max="7" width="13.88671875" style="3" bestFit="1" customWidth="1"/>
    <col min="8" max="8" width="12.109375" style="3" bestFit="1" customWidth="1"/>
    <col min="9" max="9" width="10.88671875" style="3" bestFit="1" customWidth="1"/>
    <col min="10" max="10" width="8.109375" style="3" bestFit="1" customWidth="1"/>
    <col min="11" max="26" width="10.33203125" style="3" customWidth="1"/>
    <col min="27" max="29" width="10" style="3" customWidth="1"/>
    <col min="30" max="16384" width="9.109375" style="3"/>
  </cols>
  <sheetData>
    <row r="1" spans="1:12" ht="25.8" x14ac:dyDescent="0.5">
      <c r="A1" s="286" t="s">
        <v>1800</v>
      </c>
      <c r="I1" s="114"/>
      <c r="L1" s="633" t="s">
        <v>3016</v>
      </c>
    </row>
    <row r="2" spans="1:12" ht="25.8" x14ac:dyDescent="0.5">
      <c r="A2" s="286"/>
      <c r="I2" s="114"/>
    </row>
    <row r="3" spans="1:12" ht="16.5" customHeight="1" x14ac:dyDescent="0.5">
      <c r="A3" s="115"/>
      <c r="C3" s="176" t="s">
        <v>1796</v>
      </c>
      <c r="F3" s="295">
        <f>MAX(F8:F77)</f>
        <v>1447185.6</v>
      </c>
      <c r="G3" s="295">
        <f t="shared" ref="G3:J3" si="0">MAX(G8:G77)</f>
        <v>1443556</v>
      </c>
      <c r="H3" s="295">
        <f t="shared" si="0"/>
        <v>548108</v>
      </c>
      <c r="I3" s="296">
        <f t="shared" si="0"/>
        <v>0.754</v>
      </c>
      <c r="J3" s="295">
        <f t="shared" si="0"/>
        <v>13</v>
      </c>
    </row>
    <row r="4" spans="1:12" ht="16.5" customHeight="1" x14ac:dyDescent="0.45">
      <c r="A4" s="19"/>
      <c r="B4" s="118"/>
      <c r="C4" s="287" t="s">
        <v>1798</v>
      </c>
      <c r="D4" s="288"/>
      <c r="E4" s="288"/>
      <c r="F4" s="289">
        <f>MIN(F10:F77)</f>
        <v>39600</v>
      </c>
      <c r="G4" s="289">
        <f t="shared" ref="G4:J4" si="1">MIN(G10:G77)</f>
        <v>38016</v>
      </c>
      <c r="H4" s="289">
        <f t="shared" si="1"/>
        <v>-924076</v>
      </c>
      <c r="I4" s="290">
        <f t="shared" si="1"/>
        <v>0.13400000000000001</v>
      </c>
      <c r="J4" s="289">
        <f t="shared" si="1"/>
        <v>0</v>
      </c>
    </row>
    <row r="6" spans="1:12" ht="17.399999999999999" x14ac:dyDescent="0.3">
      <c r="B6" s="119" t="s">
        <v>1770</v>
      </c>
      <c r="C6" s="120"/>
      <c r="D6" s="120"/>
      <c r="E6" s="120"/>
      <c r="F6" s="121"/>
      <c r="G6" s="121"/>
      <c r="H6" s="121"/>
      <c r="I6" s="120"/>
      <c r="J6" s="122"/>
    </row>
    <row r="7" spans="1:12" ht="17.399999999999999" x14ac:dyDescent="0.3">
      <c r="B7" s="274" t="s">
        <v>3012</v>
      </c>
      <c r="C7" s="124"/>
      <c r="D7" s="124"/>
      <c r="E7" s="124"/>
      <c r="F7" s="125"/>
      <c r="G7" s="125"/>
      <c r="H7" s="125"/>
      <c r="I7" s="124"/>
      <c r="J7" s="126"/>
    </row>
    <row r="8" spans="1:12" ht="17.399999999999999" hidden="1" x14ac:dyDescent="0.3">
      <c r="B8" s="127"/>
      <c r="C8" s="128"/>
      <c r="D8" s="128"/>
      <c r="E8" s="128"/>
      <c r="F8" s="129"/>
      <c r="G8" s="129"/>
      <c r="H8" s="129"/>
      <c r="I8" s="128"/>
    </row>
    <row r="9" spans="1:12" s="142" customFormat="1" ht="39" customHeight="1" thickBot="1" x14ac:dyDescent="0.35">
      <c r="B9" s="298" t="s">
        <v>1768</v>
      </c>
      <c r="C9" s="298" t="s">
        <v>176</v>
      </c>
      <c r="D9" s="298" t="s">
        <v>175</v>
      </c>
      <c r="E9" s="298" t="s">
        <v>264</v>
      </c>
      <c r="F9" s="299" t="s">
        <v>1771</v>
      </c>
      <c r="G9" s="299" t="s">
        <v>1772</v>
      </c>
      <c r="H9" s="300" t="s">
        <v>1773</v>
      </c>
      <c r="I9" s="301" t="s">
        <v>1774</v>
      </c>
      <c r="J9" s="301" t="s">
        <v>1775</v>
      </c>
    </row>
    <row r="10" spans="1:12" s="142" customFormat="1" ht="18" customHeight="1" x14ac:dyDescent="0.3">
      <c r="B10" s="164" t="s">
        <v>1769</v>
      </c>
      <c r="C10" s="164" t="s">
        <v>1776</v>
      </c>
      <c r="D10" s="164" t="s">
        <v>1777</v>
      </c>
      <c r="E10" s="164" t="s">
        <v>1779</v>
      </c>
      <c r="F10" s="302">
        <v>154275.84</v>
      </c>
      <c r="G10" s="302">
        <v>143476.5312</v>
      </c>
      <c r="H10" s="302">
        <f t="shared" ref="H10:H41" si="2">F10-G10</f>
        <v>10799.308799999999</v>
      </c>
      <c r="I10" s="303">
        <v>0.64300000000000002</v>
      </c>
      <c r="J10" s="304">
        <v>9</v>
      </c>
    </row>
    <row r="11" spans="1:12" s="142" customFormat="1" ht="18" customHeight="1" x14ac:dyDescent="0.3">
      <c r="B11" s="164" t="s">
        <v>1769</v>
      </c>
      <c r="C11" s="164" t="s">
        <v>1776</v>
      </c>
      <c r="D11" s="164" t="s">
        <v>1781</v>
      </c>
      <c r="E11" s="164" t="s">
        <v>1779</v>
      </c>
      <c r="F11" s="302">
        <v>57024</v>
      </c>
      <c r="G11" s="302">
        <v>54743.040000000001</v>
      </c>
      <c r="H11" s="302">
        <f t="shared" si="2"/>
        <v>2280.9599999999991</v>
      </c>
      <c r="I11" s="303">
        <v>0.59199999999999997</v>
      </c>
      <c r="J11" s="304">
        <v>8</v>
      </c>
    </row>
    <row r="12" spans="1:12" s="142" customFormat="1" ht="18" customHeight="1" x14ac:dyDescent="0.3">
      <c r="B12" s="164" t="s">
        <v>1769</v>
      </c>
      <c r="C12" s="164" t="s">
        <v>1776</v>
      </c>
      <c r="D12" s="164" t="s">
        <v>1781</v>
      </c>
      <c r="E12" s="164" t="s">
        <v>1779</v>
      </c>
      <c r="F12" s="302">
        <v>69465.600000000006</v>
      </c>
      <c r="G12" s="302">
        <v>66686.975999999995</v>
      </c>
      <c r="H12" s="302">
        <f t="shared" si="2"/>
        <v>2778.6240000000107</v>
      </c>
      <c r="I12" s="303">
        <v>0.41199999999999998</v>
      </c>
      <c r="J12" s="304">
        <v>9</v>
      </c>
    </row>
    <row r="13" spans="1:12" s="142" customFormat="1" ht="18" customHeight="1" x14ac:dyDescent="0.3">
      <c r="B13" s="164" t="s">
        <v>1769</v>
      </c>
      <c r="C13" s="164" t="s">
        <v>1776</v>
      </c>
      <c r="D13" s="164" t="s">
        <v>1777</v>
      </c>
      <c r="E13" s="164" t="s">
        <v>1779</v>
      </c>
      <c r="F13" s="302">
        <v>91463.039999999994</v>
      </c>
      <c r="G13" s="302">
        <v>72255.801599999992</v>
      </c>
      <c r="H13" s="302">
        <f t="shared" si="2"/>
        <v>19207.238400000002</v>
      </c>
      <c r="I13" s="303">
        <v>0.35599999999999998</v>
      </c>
      <c r="J13" s="304">
        <v>8</v>
      </c>
    </row>
    <row r="14" spans="1:12" s="142" customFormat="1" ht="18" customHeight="1" x14ac:dyDescent="0.3">
      <c r="B14" s="164" t="s">
        <v>1769</v>
      </c>
      <c r="C14" s="164" t="s">
        <v>1776</v>
      </c>
      <c r="D14" s="164" t="s">
        <v>1780</v>
      </c>
      <c r="E14" s="164" t="s">
        <v>1779</v>
      </c>
      <c r="F14" s="302">
        <v>94936.320000000007</v>
      </c>
      <c r="G14" s="302">
        <v>77847.782399999996</v>
      </c>
      <c r="H14" s="302">
        <f t="shared" si="2"/>
        <v>17088.537600000011</v>
      </c>
      <c r="I14" s="303">
        <v>0.52900000000000003</v>
      </c>
      <c r="J14" s="304">
        <v>9</v>
      </c>
    </row>
    <row r="15" spans="1:12" s="142" customFormat="1" ht="18" customHeight="1" x14ac:dyDescent="0.3">
      <c r="B15" s="164" t="s">
        <v>1769</v>
      </c>
      <c r="C15" s="164" t="s">
        <v>1776</v>
      </c>
      <c r="D15" s="164" t="s">
        <v>1777</v>
      </c>
      <c r="E15" s="164" t="s">
        <v>1778</v>
      </c>
      <c r="F15" s="302">
        <v>356040</v>
      </c>
      <c r="G15" s="302">
        <v>259909.2</v>
      </c>
      <c r="H15" s="302">
        <f t="shared" si="2"/>
        <v>96130.799999999988</v>
      </c>
      <c r="I15" s="303">
        <v>0.255</v>
      </c>
      <c r="J15" s="304">
        <v>2</v>
      </c>
    </row>
    <row r="16" spans="1:12" s="142" customFormat="1" ht="18" customHeight="1" x14ac:dyDescent="0.3">
      <c r="B16" s="164" t="s">
        <v>1769</v>
      </c>
      <c r="C16" s="164" t="s">
        <v>1776</v>
      </c>
      <c r="D16" s="164" t="s">
        <v>1777</v>
      </c>
      <c r="E16" s="164" t="s">
        <v>1778</v>
      </c>
      <c r="F16" s="302">
        <v>113923.584</v>
      </c>
      <c r="G16" s="302">
        <v>93417.338879999996</v>
      </c>
      <c r="H16" s="302">
        <f t="shared" si="2"/>
        <v>20506.245120000007</v>
      </c>
      <c r="I16" s="303">
        <v>0.255</v>
      </c>
      <c r="J16" s="304">
        <v>6</v>
      </c>
    </row>
    <row r="17" spans="2:10" s="142" customFormat="1" ht="18" customHeight="1" x14ac:dyDescent="0.3">
      <c r="B17" s="164" t="s">
        <v>1769</v>
      </c>
      <c r="C17" s="164" t="s">
        <v>1776</v>
      </c>
      <c r="D17" s="164" t="s">
        <v>1780</v>
      </c>
      <c r="E17" s="164" t="s">
        <v>1778</v>
      </c>
      <c r="F17" s="302">
        <v>90305.279999999999</v>
      </c>
      <c r="G17" s="302">
        <v>70438.118399999992</v>
      </c>
      <c r="H17" s="302">
        <f t="shared" si="2"/>
        <v>19867.161600000007</v>
      </c>
      <c r="I17" s="303">
        <v>0.255</v>
      </c>
      <c r="J17" s="304">
        <v>3</v>
      </c>
    </row>
    <row r="18" spans="2:10" s="142" customFormat="1" ht="18" customHeight="1" x14ac:dyDescent="0.3">
      <c r="B18" s="164" t="s">
        <v>1769</v>
      </c>
      <c r="C18" s="164" t="s">
        <v>1776</v>
      </c>
      <c r="D18" s="164" t="s">
        <v>1777</v>
      </c>
      <c r="E18" s="164" t="s">
        <v>1778</v>
      </c>
      <c r="F18" s="302">
        <v>47520</v>
      </c>
      <c r="G18" s="302">
        <v>45619.199999999997</v>
      </c>
      <c r="H18" s="302">
        <f t="shared" si="2"/>
        <v>1900.8000000000029</v>
      </c>
      <c r="I18" s="303">
        <v>0.247</v>
      </c>
      <c r="J18" s="304">
        <v>6</v>
      </c>
    </row>
    <row r="19" spans="2:10" s="142" customFormat="1" ht="18" customHeight="1" x14ac:dyDescent="0.3">
      <c r="B19" s="164" t="s">
        <v>1769</v>
      </c>
      <c r="C19" s="164" t="s">
        <v>1776</v>
      </c>
      <c r="D19" s="164" t="s">
        <v>1781</v>
      </c>
      <c r="E19" s="164" t="s">
        <v>1778</v>
      </c>
      <c r="F19" s="302">
        <v>261004.79999999999</v>
      </c>
      <c r="G19" s="302">
        <v>221854.07999999999</v>
      </c>
      <c r="H19" s="302">
        <f t="shared" si="2"/>
        <v>39150.720000000001</v>
      </c>
      <c r="I19" s="303">
        <v>0.23300000000000001</v>
      </c>
      <c r="J19" s="304">
        <v>6</v>
      </c>
    </row>
    <row r="20" spans="2:10" s="142" customFormat="1" ht="18" customHeight="1" x14ac:dyDescent="0.3">
      <c r="B20" s="164" t="s">
        <v>1769</v>
      </c>
      <c r="C20" s="164" t="s">
        <v>1776</v>
      </c>
      <c r="D20" s="164" t="s">
        <v>1781</v>
      </c>
      <c r="E20" s="164" t="s">
        <v>1778</v>
      </c>
      <c r="F20" s="302">
        <v>92620.800000000003</v>
      </c>
      <c r="G20" s="302">
        <v>82432.511999999988</v>
      </c>
      <c r="H20" s="302">
        <f t="shared" si="2"/>
        <v>10188.288000000015</v>
      </c>
      <c r="I20" s="303">
        <v>0.187</v>
      </c>
      <c r="J20" s="304">
        <v>3</v>
      </c>
    </row>
    <row r="21" spans="2:10" s="142" customFormat="1" ht="18" customHeight="1" x14ac:dyDescent="0.3">
      <c r="B21" s="164" t="s">
        <v>1769</v>
      </c>
      <c r="C21" s="164" t="s">
        <v>1776</v>
      </c>
      <c r="D21" s="164" t="s">
        <v>1780</v>
      </c>
      <c r="E21" s="164" t="s">
        <v>1779</v>
      </c>
      <c r="F21" s="302">
        <v>394275.84000000003</v>
      </c>
      <c r="G21" s="302">
        <v>366676.53120000003</v>
      </c>
      <c r="H21" s="302">
        <f t="shared" si="2"/>
        <v>27599.308799999999</v>
      </c>
      <c r="I21" s="303">
        <v>0.154</v>
      </c>
      <c r="J21" s="304">
        <v>0</v>
      </c>
    </row>
    <row r="22" spans="2:10" s="142" customFormat="1" ht="18" customHeight="1" x14ac:dyDescent="0.3">
      <c r="B22" s="164" t="s">
        <v>1769</v>
      </c>
      <c r="C22" s="164" t="s">
        <v>1776</v>
      </c>
      <c r="D22" s="164" t="s">
        <v>1780</v>
      </c>
      <c r="E22" s="164" t="s">
        <v>1778</v>
      </c>
      <c r="F22" s="302">
        <v>116121.60000000001</v>
      </c>
      <c r="G22" s="302">
        <v>84768.767999999996</v>
      </c>
      <c r="H22" s="302">
        <f t="shared" si="2"/>
        <v>31352.832000000009</v>
      </c>
      <c r="I22" s="303">
        <v>0.13400000000000001</v>
      </c>
      <c r="J22" s="304">
        <v>3</v>
      </c>
    </row>
    <row r="23" spans="2:10" s="142" customFormat="1" ht="18" customHeight="1" x14ac:dyDescent="0.3">
      <c r="B23" s="164" t="s">
        <v>1782</v>
      </c>
      <c r="C23" s="164" t="s">
        <v>1785</v>
      </c>
      <c r="D23" s="164" t="s">
        <v>1789</v>
      </c>
      <c r="E23" s="164" t="s">
        <v>1779</v>
      </c>
      <c r="F23" s="302">
        <v>91224</v>
      </c>
      <c r="G23" s="302">
        <v>66593.52</v>
      </c>
      <c r="H23" s="302">
        <f t="shared" si="2"/>
        <v>24630.479999999996</v>
      </c>
      <c r="I23" s="303">
        <v>0.65</v>
      </c>
      <c r="J23" s="304">
        <v>6</v>
      </c>
    </row>
    <row r="24" spans="2:10" s="142" customFormat="1" ht="18" customHeight="1" x14ac:dyDescent="0.3">
      <c r="B24" s="164" t="s">
        <v>1782</v>
      </c>
      <c r="C24" s="164" t="s">
        <v>1783</v>
      </c>
      <c r="D24" s="164" t="s">
        <v>1788</v>
      </c>
      <c r="E24" s="164" t="s">
        <v>1778</v>
      </c>
      <c r="F24" s="302">
        <v>76032</v>
      </c>
      <c r="G24" s="302">
        <v>75271.679999999993</v>
      </c>
      <c r="H24" s="302">
        <f t="shared" si="2"/>
        <v>760.32000000000698</v>
      </c>
      <c r="I24" s="303">
        <v>0.623</v>
      </c>
      <c r="J24" s="304">
        <v>0</v>
      </c>
    </row>
    <row r="25" spans="2:10" s="142" customFormat="1" ht="18" customHeight="1" x14ac:dyDescent="0.3">
      <c r="B25" s="164" t="s">
        <v>1782</v>
      </c>
      <c r="C25" s="164" t="s">
        <v>1785</v>
      </c>
      <c r="D25" s="164" t="s">
        <v>1786</v>
      </c>
      <c r="E25" s="164" t="s">
        <v>1779</v>
      </c>
      <c r="F25" s="302">
        <v>121197.6</v>
      </c>
      <c r="G25" s="302">
        <v>112713.76800000001</v>
      </c>
      <c r="H25" s="302">
        <f t="shared" si="2"/>
        <v>8483.8319999999949</v>
      </c>
      <c r="I25" s="303">
        <v>0.45</v>
      </c>
      <c r="J25" s="304">
        <v>13</v>
      </c>
    </row>
    <row r="26" spans="2:10" s="142" customFormat="1" ht="18" customHeight="1" x14ac:dyDescent="0.3">
      <c r="B26" s="164" t="s">
        <v>1782</v>
      </c>
      <c r="C26" s="164" t="s">
        <v>1783</v>
      </c>
      <c r="D26" s="164" t="s">
        <v>1784</v>
      </c>
      <c r="E26" s="164" t="s">
        <v>1779</v>
      </c>
      <c r="F26" s="302">
        <v>181988</v>
      </c>
      <c r="G26" s="302">
        <v>205646.44</v>
      </c>
      <c r="H26" s="302">
        <f t="shared" si="2"/>
        <v>-23658.440000000002</v>
      </c>
      <c r="I26" s="303">
        <v>0.432</v>
      </c>
      <c r="J26" s="304">
        <v>2</v>
      </c>
    </row>
    <row r="27" spans="2:10" s="142" customFormat="1" ht="18" customHeight="1" x14ac:dyDescent="0.3">
      <c r="B27" s="164" t="s">
        <v>1782</v>
      </c>
      <c r="C27" s="164" t="s">
        <v>1785</v>
      </c>
      <c r="D27" s="164" t="s">
        <v>1786</v>
      </c>
      <c r="E27" s="164" t="s">
        <v>1779</v>
      </c>
      <c r="F27" s="302">
        <v>110772</v>
      </c>
      <c r="G27" s="302">
        <v>94156.2</v>
      </c>
      <c r="H27" s="302">
        <f t="shared" si="2"/>
        <v>16615.800000000003</v>
      </c>
      <c r="I27" s="303">
        <v>0.39800000000000002</v>
      </c>
      <c r="J27" s="304">
        <v>9</v>
      </c>
    </row>
    <row r="28" spans="2:10" s="142" customFormat="1" ht="18" customHeight="1" x14ac:dyDescent="0.3">
      <c r="B28" s="164" t="s">
        <v>1782</v>
      </c>
      <c r="C28" s="164" t="s">
        <v>1783</v>
      </c>
      <c r="D28" s="164" t="s">
        <v>1787</v>
      </c>
      <c r="E28" s="164" t="s">
        <v>1778</v>
      </c>
      <c r="F28" s="302">
        <v>128563.2</v>
      </c>
      <c r="G28" s="302">
        <v>119563.776</v>
      </c>
      <c r="H28" s="302">
        <f t="shared" si="2"/>
        <v>8999.4239999999991</v>
      </c>
      <c r="I28" s="303">
        <v>0.39800000000000002</v>
      </c>
      <c r="J28" s="304">
        <v>8</v>
      </c>
    </row>
    <row r="29" spans="2:10" s="142" customFormat="1" ht="18" customHeight="1" x14ac:dyDescent="0.3">
      <c r="B29" s="164" t="s">
        <v>1782</v>
      </c>
      <c r="C29" s="164" t="s">
        <v>1783</v>
      </c>
      <c r="D29" s="164" t="s">
        <v>1784</v>
      </c>
      <c r="E29" s="164" t="s">
        <v>1778</v>
      </c>
      <c r="F29" s="302">
        <v>96768</v>
      </c>
      <c r="G29" s="302">
        <v>70640.639999999999</v>
      </c>
      <c r="H29" s="302">
        <f t="shared" si="2"/>
        <v>26127.360000000001</v>
      </c>
      <c r="I29" s="303">
        <v>0.34499999999999997</v>
      </c>
      <c r="J29" s="304">
        <v>2</v>
      </c>
    </row>
    <row r="30" spans="2:10" s="142" customFormat="1" ht="18" customHeight="1" x14ac:dyDescent="0.3">
      <c r="B30" s="164" t="s">
        <v>1782</v>
      </c>
      <c r="C30" s="164" t="s">
        <v>1785</v>
      </c>
      <c r="D30" s="164" t="s">
        <v>1789</v>
      </c>
      <c r="E30" s="164" t="s">
        <v>1779</v>
      </c>
      <c r="F30" s="302">
        <v>110772</v>
      </c>
      <c r="G30" s="302">
        <v>125172.36</v>
      </c>
      <c r="H30" s="302">
        <f t="shared" si="2"/>
        <v>-14400.36</v>
      </c>
      <c r="I30" s="303">
        <v>0.498</v>
      </c>
      <c r="J30" s="304">
        <v>1</v>
      </c>
    </row>
    <row r="31" spans="2:10" s="142" customFormat="1" ht="18" customHeight="1" x14ac:dyDescent="0.3">
      <c r="B31" s="164" t="s">
        <v>1782</v>
      </c>
      <c r="C31" s="164" t="s">
        <v>1783</v>
      </c>
      <c r="D31" s="164" t="s">
        <v>1784</v>
      </c>
      <c r="E31" s="164" t="s">
        <v>1778</v>
      </c>
      <c r="F31" s="302">
        <v>432900</v>
      </c>
      <c r="G31" s="302">
        <v>367965</v>
      </c>
      <c r="H31" s="302">
        <f t="shared" si="2"/>
        <v>64935</v>
      </c>
      <c r="I31" s="303">
        <v>0.247</v>
      </c>
      <c r="J31" s="304">
        <v>2</v>
      </c>
    </row>
    <row r="32" spans="2:10" s="142" customFormat="1" ht="18" customHeight="1" x14ac:dyDescent="0.3">
      <c r="B32" s="164" t="s">
        <v>1782</v>
      </c>
      <c r="C32" s="164" t="s">
        <v>1785</v>
      </c>
      <c r="D32" s="164" t="s">
        <v>1789</v>
      </c>
      <c r="E32" s="164" t="s">
        <v>1779</v>
      </c>
      <c r="F32" s="302">
        <v>91224</v>
      </c>
      <c r="G32" s="302">
        <v>127713.60000000001</v>
      </c>
      <c r="H32" s="302">
        <f t="shared" si="2"/>
        <v>-36489.600000000006</v>
      </c>
      <c r="I32" s="303">
        <v>0.247</v>
      </c>
      <c r="J32" s="304">
        <v>4</v>
      </c>
    </row>
    <row r="33" spans="2:10" s="142" customFormat="1" ht="18" customHeight="1" x14ac:dyDescent="0.3">
      <c r="B33" s="164" t="s">
        <v>1782</v>
      </c>
      <c r="C33" s="164" t="s">
        <v>1785</v>
      </c>
      <c r="D33" s="164" t="s">
        <v>1789</v>
      </c>
      <c r="E33" s="164" t="s">
        <v>1778</v>
      </c>
      <c r="F33" s="302">
        <v>217504</v>
      </c>
      <c r="G33" s="302">
        <v>184878.4</v>
      </c>
      <c r="H33" s="302">
        <f t="shared" si="2"/>
        <v>32625.600000000006</v>
      </c>
      <c r="I33" s="303">
        <v>0.23300000000000001</v>
      </c>
      <c r="J33" s="304">
        <v>9</v>
      </c>
    </row>
    <row r="34" spans="2:10" s="142" customFormat="1" ht="18" customHeight="1" x14ac:dyDescent="0.3">
      <c r="B34" s="164" t="s">
        <v>1782</v>
      </c>
      <c r="C34" s="164" t="s">
        <v>1783</v>
      </c>
      <c r="D34" s="164" t="s">
        <v>1787</v>
      </c>
      <c r="E34" s="164" t="s">
        <v>1778</v>
      </c>
      <c r="F34" s="302">
        <v>128563.2</v>
      </c>
      <c r="G34" s="302">
        <v>119563.776</v>
      </c>
      <c r="H34" s="302">
        <f t="shared" si="2"/>
        <v>8999.4239999999991</v>
      </c>
      <c r="I34" s="303">
        <v>0.23300000000000001</v>
      </c>
      <c r="J34" s="304">
        <v>1</v>
      </c>
    </row>
    <row r="35" spans="2:10" s="142" customFormat="1" ht="18" customHeight="1" x14ac:dyDescent="0.3">
      <c r="B35" s="164" t="s">
        <v>1782</v>
      </c>
      <c r="C35" s="164" t="s">
        <v>1785</v>
      </c>
      <c r="D35" s="164" t="s">
        <v>1786</v>
      </c>
      <c r="E35" s="164" t="s">
        <v>1779</v>
      </c>
      <c r="F35" s="302">
        <v>121197.6</v>
      </c>
      <c r="G35" s="302">
        <v>112713.76800000001</v>
      </c>
      <c r="H35" s="302">
        <f t="shared" si="2"/>
        <v>8483.8319999999949</v>
      </c>
      <c r="I35" s="303">
        <v>0.23300000000000001</v>
      </c>
      <c r="J35" s="304">
        <v>0</v>
      </c>
    </row>
    <row r="36" spans="2:10" s="142" customFormat="1" ht="18" customHeight="1" x14ac:dyDescent="0.3">
      <c r="B36" s="164" t="s">
        <v>1782</v>
      </c>
      <c r="C36" s="164" t="s">
        <v>1785</v>
      </c>
      <c r="D36" s="164" t="s">
        <v>1789</v>
      </c>
      <c r="E36" s="164" t="s">
        <v>1779</v>
      </c>
      <c r="F36" s="302">
        <v>110772</v>
      </c>
      <c r="G36" s="302">
        <v>125172.36</v>
      </c>
      <c r="H36" s="302">
        <f t="shared" si="2"/>
        <v>-14400.36</v>
      </c>
      <c r="I36" s="303">
        <v>0.23300000000000001</v>
      </c>
      <c r="J36" s="304">
        <v>0</v>
      </c>
    </row>
    <row r="37" spans="2:10" s="142" customFormat="1" ht="18" customHeight="1" x14ac:dyDescent="0.3">
      <c r="B37" s="164" t="s">
        <v>1782</v>
      </c>
      <c r="C37" s="164" t="s">
        <v>1785</v>
      </c>
      <c r="D37" s="164" t="s">
        <v>1789</v>
      </c>
      <c r="E37" s="164" t="s">
        <v>1778</v>
      </c>
      <c r="F37" s="302">
        <v>128563.2</v>
      </c>
      <c r="G37" s="302">
        <v>119563.776</v>
      </c>
      <c r="H37" s="302">
        <f t="shared" si="2"/>
        <v>8999.4239999999991</v>
      </c>
      <c r="I37" s="303">
        <v>0.154</v>
      </c>
      <c r="J37" s="304">
        <v>3</v>
      </c>
    </row>
    <row r="38" spans="2:10" s="142" customFormat="1" ht="18" customHeight="1" x14ac:dyDescent="0.3">
      <c r="B38" s="164" t="s">
        <v>1782</v>
      </c>
      <c r="C38" s="164" t="s">
        <v>1783</v>
      </c>
      <c r="D38" s="164" t="s">
        <v>1784</v>
      </c>
      <c r="E38" s="164" t="s">
        <v>1779</v>
      </c>
      <c r="F38" s="302">
        <v>121197.6</v>
      </c>
      <c r="G38" s="302">
        <v>112713.76800000001</v>
      </c>
      <c r="H38" s="302">
        <f t="shared" si="2"/>
        <v>8483.8319999999949</v>
      </c>
      <c r="I38" s="303">
        <v>0.154</v>
      </c>
      <c r="J38" s="304">
        <v>4</v>
      </c>
    </row>
    <row r="39" spans="2:10" s="142" customFormat="1" ht="18" customHeight="1" x14ac:dyDescent="0.3">
      <c r="B39" s="164" t="s">
        <v>1782</v>
      </c>
      <c r="C39" s="164" t="s">
        <v>1785</v>
      </c>
      <c r="D39" s="164" t="s">
        <v>1789</v>
      </c>
      <c r="E39" s="164" t="s">
        <v>1779</v>
      </c>
      <c r="F39" s="302">
        <v>71676</v>
      </c>
      <c r="G39" s="302">
        <v>70959.240000000005</v>
      </c>
      <c r="H39" s="302">
        <f t="shared" si="2"/>
        <v>716.75999999999476</v>
      </c>
      <c r="I39" s="303">
        <v>0.13400000000000001</v>
      </c>
      <c r="J39" s="304">
        <v>9</v>
      </c>
    </row>
    <row r="40" spans="2:10" s="142" customFormat="1" ht="18" customHeight="1" x14ac:dyDescent="0.3">
      <c r="B40" s="164" t="s">
        <v>1790</v>
      </c>
      <c r="C40" s="164" t="s">
        <v>1776</v>
      </c>
      <c r="D40" s="164" t="s">
        <v>1777</v>
      </c>
      <c r="E40" s="164" t="s">
        <v>1791</v>
      </c>
      <c r="F40" s="302">
        <v>94936.320000000007</v>
      </c>
      <c r="G40" s="302">
        <v>77847.782399999996</v>
      </c>
      <c r="H40" s="302">
        <f t="shared" si="2"/>
        <v>17088.537600000011</v>
      </c>
      <c r="I40" s="303">
        <v>0.57599999999999996</v>
      </c>
      <c r="J40" s="304">
        <v>8</v>
      </c>
    </row>
    <row r="41" spans="2:10" s="142" customFormat="1" ht="18" customHeight="1" x14ac:dyDescent="0.3">
      <c r="B41" s="164" t="s">
        <v>1790</v>
      </c>
      <c r="C41" s="164" t="s">
        <v>1776</v>
      </c>
      <c r="D41" s="164" t="s">
        <v>1780</v>
      </c>
      <c r="E41" s="164" t="s">
        <v>1791</v>
      </c>
      <c r="F41" s="302">
        <v>69465.600000000006</v>
      </c>
      <c r="G41" s="302">
        <v>66686.975999999995</v>
      </c>
      <c r="H41" s="302">
        <f t="shared" si="2"/>
        <v>2778.6240000000107</v>
      </c>
      <c r="I41" s="303">
        <v>0.57299999999999995</v>
      </c>
      <c r="J41" s="304">
        <v>8</v>
      </c>
    </row>
    <row r="42" spans="2:10" s="142" customFormat="1" ht="18" customHeight="1" x14ac:dyDescent="0.3">
      <c r="B42" s="164" t="s">
        <v>1790</v>
      </c>
      <c r="C42" s="164" t="s">
        <v>1776</v>
      </c>
      <c r="D42" s="164" t="s">
        <v>1777</v>
      </c>
      <c r="E42" s="164" t="s">
        <v>1778</v>
      </c>
      <c r="F42" s="302">
        <v>519480</v>
      </c>
      <c r="G42" s="302">
        <v>1443556</v>
      </c>
      <c r="H42" s="302">
        <f t="shared" ref="H42:H73" si="3">F42-G42</f>
        <v>-924076</v>
      </c>
      <c r="I42" s="303">
        <v>0.39800000000000002</v>
      </c>
      <c r="J42" s="304">
        <v>6</v>
      </c>
    </row>
    <row r="43" spans="2:10" s="142" customFormat="1" ht="18" customHeight="1" x14ac:dyDescent="0.3">
      <c r="B43" s="164" t="s">
        <v>1790</v>
      </c>
      <c r="C43" s="164" t="s">
        <v>1776</v>
      </c>
      <c r="D43" s="164" t="s">
        <v>1781</v>
      </c>
      <c r="E43" s="164" t="s">
        <v>1792</v>
      </c>
      <c r="F43" s="302">
        <v>113923.584</v>
      </c>
      <c r="G43" s="302">
        <v>93417.338879999996</v>
      </c>
      <c r="H43" s="302">
        <f t="shared" si="3"/>
        <v>20506.245120000007</v>
      </c>
      <c r="I43" s="303">
        <v>0.35599999999999998</v>
      </c>
      <c r="J43" s="304">
        <v>2</v>
      </c>
    </row>
    <row r="44" spans="2:10" s="142" customFormat="1" ht="18" customHeight="1" x14ac:dyDescent="0.3">
      <c r="B44" s="164" t="s">
        <v>1790</v>
      </c>
      <c r="C44" s="164" t="s">
        <v>1776</v>
      </c>
      <c r="D44" s="164" t="s">
        <v>1780</v>
      </c>
      <c r="E44" s="164" t="s">
        <v>1792</v>
      </c>
      <c r="F44" s="302">
        <v>154275.84</v>
      </c>
      <c r="G44" s="302">
        <v>143476.5312</v>
      </c>
      <c r="H44" s="302">
        <f t="shared" si="3"/>
        <v>10799.308799999999</v>
      </c>
      <c r="I44" s="303">
        <v>0.52200000000000002</v>
      </c>
      <c r="J44" s="304">
        <v>4</v>
      </c>
    </row>
    <row r="45" spans="2:10" s="142" customFormat="1" ht="18" customHeight="1" x14ac:dyDescent="0.3">
      <c r="B45" s="164" t="s">
        <v>1790</v>
      </c>
      <c r="C45" s="164" t="s">
        <v>1776</v>
      </c>
      <c r="D45" s="164" t="s">
        <v>1777</v>
      </c>
      <c r="E45" s="164" t="s">
        <v>1792</v>
      </c>
      <c r="F45" s="302">
        <v>91238.399999999994</v>
      </c>
      <c r="G45" s="302">
        <v>90326.015999999989</v>
      </c>
      <c r="H45" s="302">
        <f t="shared" si="3"/>
        <v>912.38400000000547</v>
      </c>
      <c r="I45" s="303">
        <v>0.315</v>
      </c>
      <c r="J45" s="304">
        <v>9</v>
      </c>
    </row>
    <row r="46" spans="2:10" s="142" customFormat="1" ht="18" customHeight="1" x14ac:dyDescent="0.3">
      <c r="B46" s="164" t="s">
        <v>1790</v>
      </c>
      <c r="C46" s="164" t="s">
        <v>1776</v>
      </c>
      <c r="D46" s="164" t="s">
        <v>1781</v>
      </c>
      <c r="E46" s="164" t="s">
        <v>1791</v>
      </c>
      <c r="F46" s="302">
        <v>91463.039999999994</v>
      </c>
      <c r="G46" s="302">
        <v>72255.801599999992</v>
      </c>
      <c r="H46" s="302">
        <f t="shared" si="3"/>
        <v>19207.238400000002</v>
      </c>
      <c r="I46" s="303">
        <v>0.27600000000000002</v>
      </c>
      <c r="J46" s="304">
        <v>5</v>
      </c>
    </row>
    <row r="47" spans="2:10" s="142" customFormat="1" ht="18" customHeight="1" x14ac:dyDescent="0.3">
      <c r="B47" s="164" t="s">
        <v>1790</v>
      </c>
      <c r="C47" s="164" t="s">
        <v>1776</v>
      </c>
      <c r="D47" s="164" t="s">
        <v>1777</v>
      </c>
      <c r="E47" s="164" t="s">
        <v>1792</v>
      </c>
      <c r="F47" s="302">
        <v>90305.279999999999</v>
      </c>
      <c r="G47" s="302">
        <v>70438.118399999992</v>
      </c>
      <c r="H47" s="302">
        <f t="shared" si="3"/>
        <v>19867.161600000007</v>
      </c>
      <c r="I47" s="305">
        <v>0.26500000000000001</v>
      </c>
      <c r="J47" s="304">
        <v>2</v>
      </c>
    </row>
    <row r="48" spans="2:10" s="142" customFormat="1" ht="18" customHeight="1" x14ac:dyDescent="0.3">
      <c r="B48" s="164" t="s">
        <v>1790</v>
      </c>
      <c r="C48" s="164" t="s">
        <v>1776</v>
      </c>
      <c r="D48" s="164" t="s">
        <v>1780</v>
      </c>
      <c r="E48" s="164" t="s">
        <v>1792</v>
      </c>
      <c r="F48" s="302">
        <v>92620.800000000003</v>
      </c>
      <c r="G48" s="302">
        <v>104661.504</v>
      </c>
      <c r="H48" s="302">
        <f t="shared" si="3"/>
        <v>-12040.703999999998</v>
      </c>
      <c r="I48" s="303">
        <v>0.255</v>
      </c>
      <c r="J48" s="304">
        <v>9</v>
      </c>
    </row>
    <row r="49" spans="2:10" s="142" customFormat="1" ht="18" customHeight="1" x14ac:dyDescent="0.3">
      <c r="B49" s="164" t="s">
        <v>1790</v>
      </c>
      <c r="C49" s="164" t="s">
        <v>1776</v>
      </c>
      <c r="D49" s="164" t="s">
        <v>1781</v>
      </c>
      <c r="E49" s="164" t="s">
        <v>1791</v>
      </c>
      <c r="F49" s="302">
        <v>154275.84</v>
      </c>
      <c r="G49" s="302">
        <v>143476.5312</v>
      </c>
      <c r="H49" s="302">
        <f t="shared" si="3"/>
        <v>10799.308799999999</v>
      </c>
      <c r="I49" s="303">
        <v>0.247</v>
      </c>
      <c r="J49" s="304">
        <v>8</v>
      </c>
    </row>
    <row r="50" spans="2:10" s="142" customFormat="1" ht="18" customHeight="1" x14ac:dyDescent="0.3">
      <c r="B50" s="164" t="s">
        <v>1790</v>
      </c>
      <c r="C50" s="164" t="s">
        <v>1776</v>
      </c>
      <c r="D50" s="164" t="s">
        <v>1781</v>
      </c>
      <c r="E50" s="164" t="s">
        <v>1792</v>
      </c>
      <c r="F50" s="302">
        <v>1447185.6</v>
      </c>
      <c r="G50" s="302">
        <v>975545</v>
      </c>
      <c r="H50" s="302">
        <f t="shared" si="3"/>
        <v>471640.60000000009</v>
      </c>
      <c r="I50" s="303">
        <v>0.23300000000000001</v>
      </c>
      <c r="J50" s="304">
        <v>9</v>
      </c>
    </row>
    <row r="51" spans="2:10" s="142" customFormat="1" ht="18" customHeight="1" x14ac:dyDescent="0.3">
      <c r="B51" s="164" t="s">
        <v>1790</v>
      </c>
      <c r="C51" s="164" t="s">
        <v>1776</v>
      </c>
      <c r="D51" s="164" t="s">
        <v>1780</v>
      </c>
      <c r="E51" s="164" t="s">
        <v>1791</v>
      </c>
      <c r="F51" s="302">
        <v>113923.584</v>
      </c>
      <c r="G51" s="302">
        <v>93417.338879999996</v>
      </c>
      <c r="H51" s="302">
        <f t="shared" si="3"/>
        <v>20506.245120000007</v>
      </c>
      <c r="I51" s="303">
        <v>0.187</v>
      </c>
      <c r="J51" s="304">
        <v>5</v>
      </c>
    </row>
    <row r="52" spans="2:10" s="142" customFormat="1" ht="18" customHeight="1" x14ac:dyDescent="0.3">
      <c r="B52" s="164" t="s">
        <v>1790</v>
      </c>
      <c r="C52" s="164" t="s">
        <v>1776</v>
      </c>
      <c r="D52" s="164" t="s">
        <v>1781</v>
      </c>
      <c r="E52" s="164" t="s">
        <v>1792</v>
      </c>
      <c r="F52" s="302">
        <v>94936.320000000007</v>
      </c>
      <c r="G52" s="302">
        <v>77847.782399999996</v>
      </c>
      <c r="H52" s="302">
        <f t="shared" si="3"/>
        <v>17088.537600000011</v>
      </c>
      <c r="I52" s="303">
        <v>0.13400000000000001</v>
      </c>
      <c r="J52" s="304">
        <v>4</v>
      </c>
    </row>
    <row r="53" spans="2:10" s="142" customFormat="1" ht="18" customHeight="1" x14ac:dyDescent="0.3">
      <c r="B53" s="164" t="s">
        <v>1793</v>
      </c>
      <c r="C53" s="164" t="s">
        <v>1783</v>
      </c>
      <c r="D53" s="164" t="s">
        <v>1784</v>
      </c>
      <c r="E53" s="164" t="s">
        <v>1778</v>
      </c>
      <c r="F53" s="302">
        <v>1205988</v>
      </c>
      <c r="G53" s="302">
        <v>657880</v>
      </c>
      <c r="H53" s="302">
        <f t="shared" si="3"/>
        <v>548108</v>
      </c>
      <c r="I53" s="303">
        <v>0.432</v>
      </c>
      <c r="J53" s="304">
        <v>10</v>
      </c>
    </row>
    <row r="54" spans="2:10" s="142" customFormat="1" ht="18" customHeight="1" x14ac:dyDescent="0.3">
      <c r="B54" s="164" t="s">
        <v>1793</v>
      </c>
      <c r="C54" s="164" t="s">
        <v>1783</v>
      </c>
      <c r="D54" s="164" t="s">
        <v>1784</v>
      </c>
      <c r="E54" s="164" t="s">
        <v>1778</v>
      </c>
      <c r="F54" s="302">
        <f>128563.2+200000</f>
        <v>328563.20000000001</v>
      </c>
      <c r="G54" s="302">
        <v>305563.77600000001</v>
      </c>
      <c r="H54" s="302">
        <f t="shared" si="3"/>
        <v>22999.423999999999</v>
      </c>
      <c r="I54" s="305">
        <v>0.39800000000000002</v>
      </c>
      <c r="J54" s="304">
        <v>3</v>
      </c>
    </row>
    <row r="55" spans="2:10" s="142" customFormat="1" ht="18" customHeight="1" x14ac:dyDescent="0.3">
      <c r="B55" s="164" t="s">
        <v>1794</v>
      </c>
      <c r="C55" s="164" t="s">
        <v>1785</v>
      </c>
      <c r="D55" s="164" t="s">
        <v>1789</v>
      </c>
      <c r="E55" s="164" t="s">
        <v>1791</v>
      </c>
      <c r="F55" s="302">
        <v>54120</v>
      </c>
      <c r="G55" s="302">
        <v>44378.400000000001</v>
      </c>
      <c r="H55" s="302">
        <f t="shared" si="3"/>
        <v>9741.5999999999985</v>
      </c>
      <c r="I55" s="303">
        <v>0.54300000000000004</v>
      </c>
      <c r="J55" s="304">
        <v>3</v>
      </c>
    </row>
    <row r="56" spans="2:10" s="142" customFormat="1" ht="18" customHeight="1" x14ac:dyDescent="0.3">
      <c r="B56" s="164" t="s">
        <v>1794</v>
      </c>
      <c r="C56" s="164" t="s">
        <v>1783</v>
      </c>
      <c r="D56" s="164" t="s">
        <v>1784</v>
      </c>
      <c r="E56" s="164" t="s">
        <v>1791</v>
      </c>
      <c r="F56" s="302">
        <v>39600</v>
      </c>
      <c r="G56" s="302">
        <v>38016</v>
      </c>
      <c r="H56" s="302">
        <f t="shared" si="3"/>
        <v>1584</v>
      </c>
      <c r="I56" s="303">
        <v>0.61199999999999999</v>
      </c>
      <c r="J56" s="304">
        <v>2</v>
      </c>
    </row>
    <row r="57" spans="2:10" s="142" customFormat="1" ht="18" customHeight="1" x14ac:dyDescent="0.3">
      <c r="B57" s="164" t="s">
        <v>1794</v>
      </c>
      <c r="C57" s="164" t="s">
        <v>1785</v>
      </c>
      <c r="D57" s="164" t="s">
        <v>1786</v>
      </c>
      <c r="E57" s="164" t="s">
        <v>1792</v>
      </c>
      <c r="F57" s="302">
        <v>77184</v>
      </c>
      <c r="G57" s="302">
        <v>87217.919999999998</v>
      </c>
      <c r="H57" s="302">
        <f t="shared" si="3"/>
        <v>-10033.919999999998</v>
      </c>
      <c r="I57" s="303">
        <v>0.34399999999999997</v>
      </c>
      <c r="J57" s="304">
        <v>5</v>
      </c>
    </row>
    <row r="58" spans="2:10" s="142" customFormat="1" ht="18" customHeight="1" x14ac:dyDescent="0.3">
      <c r="B58" s="164" t="s">
        <v>1794</v>
      </c>
      <c r="C58" s="164" t="s">
        <v>1785</v>
      </c>
      <c r="D58" s="164" t="s">
        <v>1786</v>
      </c>
      <c r="E58" s="164" t="s">
        <v>1792</v>
      </c>
      <c r="F58" s="302">
        <v>76219.199999999997</v>
      </c>
      <c r="G58" s="302">
        <v>60213.167999999998</v>
      </c>
      <c r="H58" s="302">
        <f t="shared" si="3"/>
        <v>16006.031999999999</v>
      </c>
      <c r="I58" s="303">
        <v>0.754</v>
      </c>
      <c r="J58" s="304">
        <v>1</v>
      </c>
    </row>
    <row r="59" spans="2:10" s="142" customFormat="1" ht="18" customHeight="1" x14ac:dyDescent="0.3">
      <c r="B59" s="164" t="s">
        <v>1794</v>
      </c>
      <c r="C59" s="164" t="s">
        <v>1783</v>
      </c>
      <c r="D59" s="164" t="s">
        <v>1784</v>
      </c>
      <c r="E59" s="164" t="s">
        <v>1792</v>
      </c>
      <c r="F59" s="302">
        <v>79113.600000000006</v>
      </c>
      <c r="G59" s="302">
        <v>64873.152000000002</v>
      </c>
      <c r="H59" s="302">
        <f t="shared" si="3"/>
        <v>14240.448000000004</v>
      </c>
      <c r="I59" s="303">
        <v>0.435</v>
      </c>
      <c r="J59" s="304">
        <v>6</v>
      </c>
    </row>
    <row r="60" spans="2:10" s="142" customFormat="1" ht="18" customHeight="1" x14ac:dyDescent="0.3">
      <c r="B60" s="164" t="s">
        <v>1794</v>
      </c>
      <c r="C60" s="164" t="s">
        <v>1785</v>
      </c>
      <c r="D60" s="164" t="s">
        <v>1789</v>
      </c>
      <c r="E60" s="164" t="s">
        <v>1791</v>
      </c>
      <c r="F60" s="302">
        <v>39600</v>
      </c>
      <c r="G60" s="302">
        <v>38016</v>
      </c>
      <c r="H60" s="302">
        <f t="shared" si="3"/>
        <v>1584</v>
      </c>
      <c r="I60" s="303">
        <v>0.56299999999999994</v>
      </c>
      <c r="J60" s="304">
        <v>8</v>
      </c>
    </row>
    <row r="61" spans="2:10" s="142" customFormat="1" ht="18" customHeight="1" x14ac:dyDescent="0.3">
      <c r="B61" s="164" t="s">
        <v>1794</v>
      </c>
      <c r="C61" s="164" t="s">
        <v>1783</v>
      </c>
      <c r="D61" s="164" t="s">
        <v>1784</v>
      </c>
      <c r="E61" s="164" t="s">
        <v>1779</v>
      </c>
      <c r="F61" s="302">
        <v>71676</v>
      </c>
      <c r="G61" s="302">
        <v>70959.240000000005</v>
      </c>
      <c r="H61" s="302">
        <f t="shared" si="3"/>
        <v>716.75999999999476</v>
      </c>
      <c r="I61" s="303">
        <v>0.23400000000000001</v>
      </c>
      <c r="J61" s="304">
        <v>1</v>
      </c>
    </row>
    <row r="62" spans="2:10" s="142" customFormat="1" ht="18" customHeight="1" x14ac:dyDescent="0.3">
      <c r="B62" s="164" t="s">
        <v>1794</v>
      </c>
      <c r="C62" s="164" t="s">
        <v>1783</v>
      </c>
      <c r="D62" s="164" t="s">
        <v>1787</v>
      </c>
      <c r="E62" s="164" t="s">
        <v>1792</v>
      </c>
      <c r="F62" s="302">
        <v>75254.399999999994</v>
      </c>
      <c r="G62" s="302">
        <v>58698.432000000001</v>
      </c>
      <c r="H62" s="302">
        <f t="shared" si="3"/>
        <v>16555.967999999993</v>
      </c>
      <c r="I62" s="303">
        <v>0.35599999999999998</v>
      </c>
      <c r="J62" s="304">
        <v>5</v>
      </c>
    </row>
    <row r="63" spans="2:10" s="142" customFormat="1" ht="18" customHeight="1" x14ac:dyDescent="0.3">
      <c r="B63" s="164" t="s">
        <v>1794</v>
      </c>
      <c r="C63" s="164" t="s">
        <v>1785</v>
      </c>
      <c r="D63" s="164" t="s">
        <v>1786</v>
      </c>
      <c r="E63" s="164" t="s">
        <v>1791</v>
      </c>
      <c r="F63" s="302">
        <v>52140</v>
      </c>
      <c r="G63" s="302">
        <v>41190.6</v>
      </c>
      <c r="H63" s="302">
        <f t="shared" si="3"/>
        <v>10949.400000000001</v>
      </c>
      <c r="I63" s="303">
        <v>0.35599999999999998</v>
      </c>
      <c r="J63" s="304">
        <v>5</v>
      </c>
    </row>
    <row r="64" spans="2:10" s="142" customFormat="1" ht="18" customHeight="1" x14ac:dyDescent="0.3">
      <c r="B64" s="164" t="s">
        <v>1794</v>
      </c>
      <c r="C64" s="164" t="s">
        <v>1785</v>
      </c>
      <c r="D64" s="164" t="s">
        <v>1789</v>
      </c>
      <c r="E64" s="164" t="s">
        <v>1791</v>
      </c>
      <c r="F64" s="302">
        <v>54120</v>
      </c>
      <c r="G64" s="302">
        <v>44378.400000000001</v>
      </c>
      <c r="H64" s="302">
        <f t="shared" si="3"/>
        <v>9741.5999999999985</v>
      </c>
      <c r="I64" s="303">
        <v>0.377</v>
      </c>
      <c r="J64" s="304">
        <v>8</v>
      </c>
    </row>
    <row r="65" spans="2:10" s="142" customFormat="1" ht="18" customHeight="1" x14ac:dyDescent="0.3">
      <c r="B65" s="164" t="s">
        <v>1794</v>
      </c>
      <c r="C65" s="164" t="s">
        <v>1783</v>
      </c>
      <c r="D65" s="164" t="s">
        <v>1784</v>
      </c>
      <c r="E65" s="164" t="s">
        <v>1792</v>
      </c>
      <c r="F65" s="302">
        <v>57888</v>
      </c>
      <c r="G65" s="302">
        <v>55572.480000000003</v>
      </c>
      <c r="H65" s="302">
        <f t="shared" si="3"/>
        <v>2315.5199999999968</v>
      </c>
      <c r="I65" s="303">
        <v>0.245</v>
      </c>
      <c r="J65" s="304">
        <v>5</v>
      </c>
    </row>
    <row r="66" spans="2:10" s="142" customFormat="1" ht="18" customHeight="1" x14ac:dyDescent="0.3">
      <c r="B66" s="164" t="s">
        <v>1794</v>
      </c>
      <c r="C66" s="164" t="s">
        <v>1783</v>
      </c>
      <c r="D66" s="164" t="s">
        <v>1784</v>
      </c>
      <c r="E66" s="164" t="s">
        <v>1792</v>
      </c>
      <c r="F66" s="302">
        <v>79113.600000000006</v>
      </c>
      <c r="G66" s="302">
        <v>64873.152000000002</v>
      </c>
      <c r="H66" s="302">
        <f t="shared" si="3"/>
        <v>14240.448000000004</v>
      </c>
      <c r="I66" s="303">
        <v>0.27600000000000002</v>
      </c>
      <c r="J66" s="304">
        <v>0</v>
      </c>
    </row>
    <row r="67" spans="2:10" s="142" customFormat="1" ht="18" customHeight="1" x14ac:dyDescent="0.3">
      <c r="B67" s="164" t="s">
        <v>1794</v>
      </c>
      <c r="C67" s="164" t="s">
        <v>1785</v>
      </c>
      <c r="D67" s="164" t="s">
        <v>1786</v>
      </c>
      <c r="E67" s="164" t="s">
        <v>1791</v>
      </c>
      <c r="F67" s="302">
        <v>52140</v>
      </c>
      <c r="G67" s="302">
        <v>41190.6</v>
      </c>
      <c r="H67" s="302">
        <f t="shared" si="3"/>
        <v>10949.400000000001</v>
      </c>
      <c r="I67" s="303">
        <v>0.27600000000000002</v>
      </c>
      <c r="J67" s="304">
        <v>6</v>
      </c>
    </row>
    <row r="68" spans="2:10" s="142" customFormat="1" ht="18" customHeight="1" x14ac:dyDescent="0.3">
      <c r="B68" s="164" t="s">
        <v>1794</v>
      </c>
      <c r="C68" s="164" t="s">
        <v>1783</v>
      </c>
      <c r="D68" s="164" t="s">
        <v>1787</v>
      </c>
      <c r="E68" s="164" t="s">
        <v>1792</v>
      </c>
      <c r="F68" s="302">
        <v>76219.199999999997</v>
      </c>
      <c r="G68" s="302">
        <v>60213.167999999998</v>
      </c>
      <c r="H68" s="302">
        <f t="shared" si="3"/>
        <v>16006.031999999999</v>
      </c>
      <c r="I68" s="303">
        <v>0.26500000000000001</v>
      </c>
      <c r="J68" s="304">
        <v>7</v>
      </c>
    </row>
    <row r="69" spans="2:10" s="142" customFormat="1" ht="18" customHeight="1" x14ac:dyDescent="0.3">
      <c r="B69" s="164" t="s">
        <v>1794</v>
      </c>
      <c r="C69" s="164" t="s">
        <v>1783</v>
      </c>
      <c r="D69" s="164" t="s">
        <v>1784</v>
      </c>
      <c r="E69" s="164" t="s">
        <v>1791</v>
      </c>
      <c r="F69" s="302">
        <v>51480</v>
      </c>
      <c r="G69" s="302">
        <v>58172.4</v>
      </c>
      <c r="H69" s="302">
        <f t="shared" si="3"/>
        <v>-6692.4000000000015</v>
      </c>
      <c r="I69" s="305">
        <v>0.26500000000000001</v>
      </c>
      <c r="J69" s="304">
        <v>9</v>
      </c>
    </row>
    <row r="70" spans="2:10" s="142" customFormat="1" ht="18" customHeight="1" x14ac:dyDescent="0.3">
      <c r="B70" s="164" t="s">
        <v>1794</v>
      </c>
      <c r="C70" s="164" t="s">
        <v>1785</v>
      </c>
      <c r="D70" s="164" t="s">
        <v>1786</v>
      </c>
      <c r="E70" s="164" t="s">
        <v>1792</v>
      </c>
      <c r="F70" s="302">
        <v>75254.399999999994</v>
      </c>
      <c r="G70" s="302">
        <v>58698.432000000001</v>
      </c>
      <c r="H70" s="302">
        <f t="shared" si="3"/>
        <v>16555.967999999993</v>
      </c>
      <c r="I70" s="303">
        <v>0.255</v>
      </c>
      <c r="J70" s="304">
        <v>9</v>
      </c>
    </row>
    <row r="71" spans="2:10" s="142" customFormat="1" ht="18" customHeight="1" x14ac:dyDescent="0.3">
      <c r="B71" s="164" t="s">
        <v>1794</v>
      </c>
      <c r="C71" s="164" t="s">
        <v>1785</v>
      </c>
      <c r="D71" s="164" t="s">
        <v>1789</v>
      </c>
      <c r="E71" s="164" t="s">
        <v>1792</v>
      </c>
      <c r="F71" s="302">
        <v>79113.600000000006</v>
      </c>
      <c r="G71" s="302">
        <v>64873.152000000002</v>
      </c>
      <c r="H71" s="302">
        <f t="shared" si="3"/>
        <v>14240.448000000004</v>
      </c>
      <c r="I71" s="303">
        <v>0.255</v>
      </c>
      <c r="J71" s="304">
        <v>9</v>
      </c>
    </row>
    <row r="72" spans="2:10" s="142" customFormat="1" ht="18" customHeight="1" x14ac:dyDescent="0.3">
      <c r="B72" s="164" t="s">
        <v>1794</v>
      </c>
      <c r="C72" s="164" t="s">
        <v>1785</v>
      </c>
      <c r="D72" s="164" t="s">
        <v>1789</v>
      </c>
      <c r="E72" s="164" t="s">
        <v>1791</v>
      </c>
      <c r="F72" s="302">
        <v>51480</v>
      </c>
      <c r="G72" s="302">
        <v>40154.400000000001</v>
      </c>
      <c r="H72" s="302">
        <f t="shared" si="3"/>
        <v>11325.599999999999</v>
      </c>
      <c r="I72" s="303">
        <v>0.255</v>
      </c>
      <c r="J72" s="304">
        <v>2</v>
      </c>
    </row>
    <row r="73" spans="2:10" s="142" customFormat="1" ht="18" customHeight="1" x14ac:dyDescent="0.3">
      <c r="B73" s="164" t="s">
        <v>1794</v>
      </c>
      <c r="C73" s="164" t="s">
        <v>1785</v>
      </c>
      <c r="D73" s="164" t="s">
        <v>1786</v>
      </c>
      <c r="E73" s="164" t="s">
        <v>1792</v>
      </c>
      <c r="F73" s="302">
        <v>77184</v>
      </c>
      <c r="G73" s="302">
        <v>68693.759999999995</v>
      </c>
      <c r="H73" s="302">
        <f t="shared" si="3"/>
        <v>8490.2400000000052</v>
      </c>
      <c r="I73" s="303">
        <v>0.255</v>
      </c>
      <c r="J73" s="304">
        <v>5</v>
      </c>
    </row>
    <row r="74" spans="2:10" s="142" customFormat="1" ht="18" customHeight="1" x14ac:dyDescent="0.3">
      <c r="B74" s="164" t="s">
        <v>1794</v>
      </c>
      <c r="C74" s="164" t="s">
        <v>1785</v>
      </c>
      <c r="D74" s="164" t="s">
        <v>1786</v>
      </c>
      <c r="E74" s="164" t="s">
        <v>1791</v>
      </c>
      <c r="F74" s="302">
        <v>52800</v>
      </c>
      <c r="G74" s="302">
        <v>59664</v>
      </c>
      <c r="H74" s="302">
        <f t="shared" ref="H74:H77" si="4">F74-G74</f>
        <v>-6864</v>
      </c>
      <c r="I74" s="303">
        <v>0.255</v>
      </c>
      <c r="J74" s="304">
        <v>8</v>
      </c>
    </row>
    <row r="75" spans="2:10" s="142" customFormat="1" ht="18" customHeight="1" x14ac:dyDescent="0.3">
      <c r="B75" s="164" t="s">
        <v>1794</v>
      </c>
      <c r="C75" s="164" t="s">
        <v>1783</v>
      </c>
      <c r="D75" s="164" t="s">
        <v>1787</v>
      </c>
      <c r="E75" s="164" t="s">
        <v>1778</v>
      </c>
      <c r="F75" s="302">
        <v>296700</v>
      </c>
      <c r="G75" s="302">
        <v>216591</v>
      </c>
      <c r="H75" s="302">
        <f t="shared" si="4"/>
        <v>80109</v>
      </c>
      <c r="I75" s="303">
        <v>0.23300000000000001</v>
      </c>
      <c r="J75" s="304">
        <v>1</v>
      </c>
    </row>
    <row r="76" spans="2:10" s="142" customFormat="1" ht="18" customHeight="1" x14ac:dyDescent="0.3">
      <c r="B76" s="164" t="s">
        <v>1794</v>
      </c>
      <c r="C76" s="164" t="s">
        <v>1783</v>
      </c>
      <c r="D76" s="164" t="s">
        <v>1787</v>
      </c>
      <c r="E76" s="164" t="s">
        <v>1791</v>
      </c>
      <c r="F76" s="302">
        <v>52800</v>
      </c>
      <c r="G76" s="302">
        <v>46992</v>
      </c>
      <c r="H76" s="302">
        <f t="shared" si="4"/>
        <v>5808</v>
      </c>
      <c r="I76" s="303">
        <v>0.187</v>
      </c>
      <c r="J76" s="304">
        <v>9</v>
      </c>
    </row>
    <row r="77" spans="2:10" s="142" customFormat="1" ht="18" customHeight="1" x14ac:dyDescent="0.3">
      <c r="B77" s="164" t="s">
        <v>1794</v>
      </c>
      <c r="C77" s="164" t="s">
        <v>1783</v>
      </c>
      <c r="D77" s="164" t="s">
        <v>1784</v>
      </c>
      <c r="E77" s="164" t="s">
        <v>1792</v>
      </c>
      <c r="F77" s="302">
        <v>57888</v>
      </c>
      <c r="G77" s="302">
        <v>55572.480000000003</v>
      </c>
      <c r="H77" s="302">
        <f t="shared" si="4"/>
        <v>2315.5199999999968</v>
      </c>
      <c r="I77" s="303">
        <v>0.187</v>
      </c>
      <c r="J77" s="304">
        <v>3</v>
      </c>
    </row>
    <row r="78" spans="2:10" s="309" customFormat="1" ht="18" customHeight="1" x14ac:dyDescent="0.3">
      <c r="B78" s="188"/>
      <c r="C78" s="188"/>
      <c r="D78" s="188"/>
      <c r="E78" s="188"/>
      <c r="F78" s="306"/>
      <c r="G78" s="306"/>
      <c r="H78" s="306"/>
      <c r="I78" s="307"/>
      <c r="J78" s="308"/>
    </row>
    <row r="79" spans="2:10" s="142" customFormat="1" ht="15.6" x14ac:dyDescent="0.3"/>
    <row r="80" spans="2:10" s="142" customFormat="1" ht="15.6" x14ac:dyDescent="0.3"/>
    <row r="81" spans="2:2" s="142" customFormat="1" ht="15.6" x14ac:dyDescent="0.3"/>
    <row r="82" spans="2:2" s="142" customFormat="1" ht="15.6" x14ac:dyDescent="0.3"/>
    <row r="83" spans="2:2" s="142" customFormat="1" ht="15.6" x14ac:dyDescent="0.3"/>
    <row r="84" spans="2:2" s="142" customFormat="1" ht="15.6" x14ac:dyDescent="0.3"/>
    <row r="85" spans="2:2" s="142" customFormat="1" ht="15.6" x14ac:dyDescent="0.3"/>
    <row r="86" spans="2:2" s="142" customFormat="1" ht="15.6" x14ac:dyDescent="0.3"/>
    <row r="87" spans="2:2" s="142" customFormat="1" ht="15.6" x14ac:dyDescent="0.3"/>
    <row r="88" spans="2:2" s="142" customFormat="1" ht="15.6" x14ac:dyDescent="0.3"/>
    <row r="89" spans="2:2" s="142" customFormat="1" ht="15.6" x14ac:dyDescent="0.3"/>
    <row r="90" spans="2:2" s="142" customFormat="1" ht="15.6" x14ac:dyDescent="0.3"/>
    <row r="91" spans="2:2" s="142" customFormat="1" ht="15.6" x14ac:dyDescent="0.3"/>
    <row r="92" spans="2:2" s="142" customFormat="1" ht="15.6" x14ac:dyDescent="0.3"/>
    <row r="93" spans="2:2" ht="14.4" x14ac:dyDescent="0.3">
      <c r="B93" s="3"/>
    </row>
    <row r="94" spans="2:2" ht="14.4" x14ac:dyDescent="0.3">
      <c r="B94" s="3"/>
    </row>
    <row r="95" spans="2:2" ht="14.4" x14ac:dyDescent="0.3">
      <c r="B95" s="3"/>
    </row>
    <row r="96" spans="2:2" ht="14.4" x14ac:dyDescent="0.3">
      <c r="B96" s="3"/>
    </row>
    <row r="97" spans="2:2" ht="14.4" x14ac:dyDescent="0.3">
      <c r="B97" s="3"/>
    </row>
    <row r="98" spans="2:2" ht="14.4" x14ac:dyDescent="0.3">
      <c r="B98" s="3"/>
    </row>
    <row r="99" spans="2:2" ht="14.4" x14ac:dyDescent="0.3">
      <c r="B99" s="3"/>
    </row>
    <row r="100" spans="2:2" ht="14.4" x14ac:dyDescent="0.3">
      <c r="B100" s="3"/>
    </row>
    <row r="101" spans="2:2" ht="14.4" x14ac:dyDescent="0.3">
      <c r="B101" s="3"/>
    </row>
    <row r="102" spans="2:2" ht="14.4" x14ac:dyDescent="0.3">
      <c r="B102" s="3"/>
    </row>
    <row r="103" spans="2:2" ht="14.4" x14ac:dyDescent="0.3">
      <c r="B103" s="3"/>
    </row>
    <row r="104" spans="2:2" ht="14.4" x14ac:dyDescent="0.3">
      <c r="B104" s="3"/>
    </row>
    <row r="105" spans="2:2" ht="14.4" x14ac:dyDescent="0.3">
      <c r="B105" s="3"/>
    </row>
    <row r="106" spans="2:2" ht="14.4" x14ac:dyDescent="0.3">
      <c r="B106" s="3"/>
    </row>
    <row r="107" spans="2:2" ht="14.4" x14ac:dyDescent="0.3">
      <c r="B107" s="3"/>
    </row>
    <row r="108" spans="2:2" ht="14.4" x14ac:dyDescent="0.3">
      <c r="B108" s="3"/>
    </row>
    <row r="109" spans="2:2" ht="14.4" x14ac:dyDescent="0.3">
      <c r="B109" s="3"/>
    </row>
    <row r="110" spans="2:2" ht="14.4" x14ac:dyDescent="0.3">
      <c r="B110" s="3"/>
    </row>
    <row r="111" spans="2:2" ht="14.4" x14ac:dyDescent="0.3">
      <c r="B111" s="3"/>
    </row>
    <row r="112" spans="2:2" ht="14.4" x14ac:dyDescent="0.3">
      <c r="B112" s="3"/>
    </row>
    <row r="113" spans="2:2" ht="14.4" x14ac:dyDescent="0.3">
      <c r="B113" s="3"/>
    </row>
    <row r="114" spans="2:2" ht="14.4" x14ac:dyDescent="0.3">
      <c r="B114" s="3"/>
    </row>
    <row r="115" spans="2:2" ht="14.4" x14ac:dyDescent="0.3">
      <c r="B115" s="3"/>
    </row>
    <row r="116" spans="2:2" ht="14.4" x14ac:dyDescent="0.3">
      <c r="B116" s="3"/>
    </row>
    <row r="117" spans="2:2" ht="14.4" x14ac:dyDescent="0.3">
      <c r="B117" s="3"/>
    </row>
    <row r="118" spans="2:2" ht="14.4" x14ac:dyDescent="0.3">
      <c r="B118" s="3"/>
    </row>
    <row r="119" spans="2:2" ht="14.4" x14ac:dyDescent="0.3">
      <c r="B119" s="3"/>
    </row>
    <row r="120" spans="2:2" ht="14.4" x14ac:dyDescent="0.3">
      <c r="B120" s="3"/>
    </row>
    <row r="121" spans="2:2" ht="14.4" x14ac:dyDescent="0.3">
      <c r="B121" s="3"/>
    </row>
    <row r="122" spans="2:2" ht="14.4" x14ac:dyDescent="0.3">
      <c r="B122" s="3"/>
    </row>
    <row r="123" spans="2:2" ht="14.4" x14ac:dyDescent="0.3">
      <c r="B123" s="3"/>
    </row>
    <row r="124" spans="2:2" ht="14.4" x14ac:dyDescent="0.3">
      <c r="B124" s="3"/>
    </row>
    <row r="125" spans="2:2" ht="14.4" x14ac:dyDescent="0.3">
      <c r="B125" s="3"/>
    </row>
    <row r="126" spans="2:2" ht="14.4" x14ac:dyDescent="0.3">
      <c r="B126" s="3"/>
    </row>
    <row r="127" spans="2:2" ht="14.4" x14ac:dyDescent="0.3">
      <c r="B127" s="3"/>
    </row>
    <row r="128" spans="2:2" ht="14.4" x14ac:dyDescent="0.3">
      <c r="B128" s="3"/>
    </row>
    <row r="129" spans="2:2" ht="14.4" x14ac:dyDescent="0.3">
      <c r="B129" s="3"/>
    </row>
    <row r="130" spans="2:2" ht="14.4" x14ac:dyDescent="0.3">
      <c r="B130" s="3"/>
    </row>
    <row r="131" spans="2:2" ht="14.4" x14ac:dyDescent="0.3">
      <c r="B131" s="3"/>
    </row>
    <row r="132" spans="2:2" ht="14.4" x14ac:dyDescent="0.3">
      <c r="B132" s="3"/>
    </row>
    <row r="133" spans="2:2" ht="14.4" x14ac:dyDescent="0.3">
      <c r="B133" s="3"/>
    </row>
    <row r="134" spans="2:2" ht="14.4" x14ac:dyDescent="0.3">
      <c r="B134" s="3"/>
    </row>
    <row r="135" spans="2:2" ht="14.4" x14ac:dyDescent="0.3">
      <c r="B135" s="3"/>
    </row>
    <row r="136" spans="2:2" ht="14.4" x14ac:dyDescent="0.3">
      <c r="B136" s="3"/>
    </row>
    <row r="137" spans="2:2" ht="14.4" x14ac:dyDescent="0.3">
      <c r="B137" s="3"/>
    </row>
    <row r="138" spans="2:2" ht="14.4" x14ac:dyDescent="0.3">
      <c r="B138" s="3"/>
    </row>
    <row r="139" spans="2:2" ht="14.4" x14ac:dyDescent="0.3">
      <c r="B139" s="3"/>
    </row>
    <row r="140" spans="2:2" ht="14.4" x14ac:dyDescent="0.3">
      <c r="B140" s="3"/>
    </row>
    <row r="141" spans="2:2" ht="14.4" x14ac:dyDescent="0.3">
      <c r="B141" s="3"/>
    </row>
    <row r="142" spans="2:2" ht="14.4" x14ac:dyDescent="0.3">
      <c r="B142" s="3"/>
    </row>
    <row r="143" spans="2:2" ht="14.4" x14ac:dyDescent="0.3">
      <c r="B143" s="3"/>
    </row>
    <row r="144" spans="2:2" ht="14.4" x14ac:dyDescent="0.3">
      <c r="B144" s="3"/>
    </row>
    <row r="145" spans="2:2" ht="14.4" x14ac:dyDescent="0.3">
      <c r="B145" s="3"/>
    </row>
    <row r="146" spans="2:2" ht="14.4" x14ac:dyDescent="0.3">
      <c r="B146" s="3"/>
    </row>
    <row r="147" spans="2:2" ht="14.4" x14ac:dyDescent="0.3">
      <c r="B147" s="3"/>
    </row>
    <row r="148" spans="2:2" ht="14.4" x14ac:dyDescent="0.3">
      <c r="B148" s="3"/>
    </row>
    <row r="149" spans="2:2" ht="14.4" x14ac:dyDescent="0.3">
      <c r="B149" s="3"/>
    </row>
    <row r="150" spans="2:2" ht="14.4" x14ac:dyDescent="0.3">
      <c r="B150" s="3"/>
    </row>
    <row r="151" spans="2:2" ht="14.4" x14ac:dyDescent="0.3">
      <c r="B151" s="3"/>
    </row>
    <row r="152" spans="2:2" ht="14.4" x14ac:dyDescent="0.3">
      <c r="B152" s="3"/>
    </row>
    <row r="153" spans="2:2" ht="14.4" x14ac:dyDescent="0.3">
      <c r="B153" s="3"/>
    </row>
    <row r="154" spans="2:2" ht="14.4" x14ac:dyDescent="0.3">
      <c r="B154" s="3"/>
    </row>
    <row r="155" spans="2:2" ht="14.4" x14ac:dyDescent="0.3">
      <c r="B155" s="3"/>
    </row>
    <row r="156" spans="2:2" ht="14.4" x14ac:dyDescent="0.3">
      <c r="B156" s="3"/>
    </row>
    <row r="157" spans="2:2" ht="14.4" x14ac:dyDescent="0.3">
      <c r="B157" s="3"/>
    </row>
    <row r="158" spans="2:2" ht="14.4" x14ac:dyDescent="0.3">
      <c r="B158" s="3"/>
    </row>
    <row r="159" spans="2:2" ht="14.4" x14ac:dyDescent="0.3">
      <c r="B159" s="3"/>
    </row>
    <row r="160" spans="2:2" ht="14.4" x14ac:dyDescent="0.3">
      <c r="B160" s="3"/>
    </row>
    <row r="161" spans="2:2" ht="14.4" x14ac:dyDescent="0.3">
      <c r="B161" s="3"/>
    </row>
    <row r="162" spans="2:2" ht="14.4" x14ac:dyDescent="0.3">
      <c r="B162" s="3"/>
    </row>
    <row r="163" spans="2:2" ht="14.4" x14ac:dyDescent="0.3">
      <c r="B163" s="3"/>
    </row>
    <row r="164" spans="2:2" ht="14.4" x14ac:dyDescent="0.3">
      <c r="B164" s="3"/>
    </row>
    <row r="165" spans="2:2" ht="14.4" x14ac:dyDescent="0.3">
      <c r="B165" s="3"/>
    </row>
    <row r="166" spans="2:2" ht="14.4" x14ac:dyDescent="0.3">
      <c r="B166" s="3"/>
    </row>
    <row r="167" spans="2:2" ht="14.4" x14ac:dyDescent="0.3">
      <c r="B167" s="3"/>
    </row>
    <row r="168" spans="2:2" ht="14.4" x14ac:dyDescent="0.3">
      <c r="B168" s="3"/>
    </row>
    <row r="169" spans="2:2" ht="14.4" x14ac:dyDescent="0.3">
      <c r="B169" s="3"/>
    </row>
    <row r="170" spans="2:2" ht="14.4" x14ac:dyDescent="0.3">
      <c r="B170" s="3"/>
    </row>
    <row r="171" spans="2:2" ht="14.4" x14ac:dyDescent="0.3">
      <c r="B171" s="3"/>
    </row>
    <row r="172" spans="2:2" ht="14.4" x14ac:dyDescent="0.3">
      <c r="B172" s="3"/>
    </row>
    <row r="173" spans="2:2" ht="14.4" x14ac:dyDescent="0.3">
      <c r="B173" s="3"/>
    </row>
    <row r="174" spans="2:2" ht="14.4" x14ac:dyDescent="0.3">
      <c r="B174" s="3"/>
    </row>
    <row r="175" spans="2:2" ht="14.4" x14ac:dyDescent="0.3">
      <c r="B175" s="3"/>
    </row>
    <row r="176" spans="2:2" ht="14.4" x14ac:dyDescent="0.3">
      <c r="B176" s="3"/>
    </row>
    <row r="177" spans="2:2" ht="14.4" x14ac:dyDescent="0.3">
      <c r="B177" s="3"/>
    </row>
    <row r="178" spans="2:2" ht="14.4" x14ac:dyDescent="0.3">
      <c r="B178" s="3"/>
    </row>
    <row r="179" spans="2:2" ht="14.4" x14ac:dyDescent="0.3">
      <c r="B179" s="3"/>
    </row>
    <row r="180" spans="2:2" ht="14.4" x14ac:dyDescent="0.3">
      <c r="B180" s="3"/>
    </row>
    <row r="181" spans="2:2" ht="14.4" x14ac:dyDescent="0.3">
      <c r="B181" s="3"/>
    </row>
    <row r="182" spans="2:2" ht="14.4" x14ac:dyDescent="0.3">
      <c r="B182" s="3"/>
    </row>
    <row r="183" spans="2:2" ht="14.4" x14ac:dyDescent="0.3">
      <c r="B183" s="3"/>
    </row>
    <row r="184" spans="2:2" ht="14.4" x14ac:dyDescent="0.3">
      <c r="B184" s="3"/>
    </row>
    <row r="185" spans="2:2" ht="14.4" x14ac:dyDescent="0.3">
      <c r="B185" s="3"/>
    </row>
    <row r="186" spans="2:2" ht="14.4" x14ac:dyDescent="0.3">
      <c r="B186" s="3"/>
    </row>
    <row r="187" spans="2:2" ht="14.4" x14ac:dyDescent="0.3">
      <c r="B187" s="3"/>
    </row>
    <row r="188" spans="2:2" ht="14.4" x14ac:dyDescent="0.3">
      <c r="B188" s="3"/>
    </row>
    <row r="189" spans="2:2" ht="14.4" x14ac:dyDescent="0.3">
      <c r="B189" s="3"/>
    </row>
    <row r="190" spans="2:2" ht="14.4" x14ac:dyDescent="0.3">
      <c r="B190" s="3"/>
    </row>
    <row r="191" spans="2:2" ht="14.4" x14ac:dyDescent="0.3">
      <c r="B191" s="3"/>
    </row>
    <row r="192" spans="2:2" ht="14.4" x14ac:dyDescent="0.3">
      <c r="B192" s="3"/>
    </row>
    <row r="193" spans="2:2" ht="14.4" x14ac:dyDescent="0.3">
      <c r="B193" s="3"/>
    </row>
    <row r="194" spans="2:2" ht="14.4" x14ac:dyDescent="0.3">
      <c r="B194" s="3"/>
    </row>
    <row r="195" spans="2:2" ht="14.4" x14ac:dyDescent="0.3">
      <c r="B195" s="3"/>
    </row>
    <row r="196" spans="2:2" ht="14.4" x14ac:dyDescent="0.3">
      <c r="B196" s="3"/>
    </row>
    <row r="197" spans="2:2" ht="14.4" x14ac:dyDescent="0.3">
      <c r="B197" s="3"/>
    </row>
    <row r="198" spans="2:2" ht="14.4" x14ac:dyDescent="0.3">
      <c r="B198" s="3"/>
    </row>
    <row r="199" spans="2:2" ht="14.4" x14ac:dyDescent="0.3">
      <c r="B199" s="3"/>
    </row>
    <row r="200" spans="2:2" ht="14.4" x14ac:dyDescent="0.3">
      <c r="B200" s="3"/>
    </row>
    <row r="201" spans="2:2" ht="14.4" x14ac:dyDescent="0.3">
      <c r="B201" s="3"/>
    </row>
    <row r="202" spans="2:2" ht="14.4" x14ac:dyDescent="0.3">
      <c r="B202" s="3"/>
    </row>
    <row r="203" spans="2:2" ht="14.4" x14ac:dyDescent="0.3">
      <c r="B203" s="3"/>
    </row>
    <row r="204" spans="2:2" ht="14.4" x14ac:dyDescent="0.3">
      <c r="B204" s="3"/>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2"/>
  <sheetViews>
    <sheetView showGridLines="0" workbookViewId="0">
      <selection activeCell="E2" sqref="E2"/>
    </sheetView>
  </sheetViews>
  <sheetFormatPr defaultColWidth="9.109375" defaultRowHeight="24.6" x14ac:dyDescent="0.4"/>
  <cols>
    <col min="1" max="1" width="3.44140625" style="3" customWidth="1"/>
    <col min="2" max="2" width="12.6640625" style="114" customWidth="1"/>
    <col min="3" max="9" width="15.88671875" style="3" customWidth="1"/>
    <col min="10" max="10" width="11.5546875" style="3" customWidth="1"/>
    <col min="11" max="26" width="10.33203125" style="3" customWidth="1"/>
    <col min="27" max="29" width="10" style="3" customWidth="1"/>
    <col min="30" max="16384" width="9.109375" style="3"/>
  </cols>
  <sheetData>
    <row r="1" spans="1:12" ht="30" x14ac:dyDescent="0.5">
      <c r="A1" s="113" t="s">
        <v>1758</v>
      </c>
      <c r="I1" s="114" t="s">
        <v>1768</v>
      </c>
      <c r="L1" s="633" t="s">
        <v>3016</v>
      </c>
    </row>
    <row r="2" spans="1:12" ht="30" x14ac:dyDescent="0.5">
      <c r="A2" s="115" t="s">
        <v>423</v>
      </c>
      <c r="E2" s="311">
        <f>DMIN(B7:J75,J7,I1:I2)</f>
        <v>0</v>
      </c>
      <c r="I2" s="114" t="s">
        <v>1769</v>
      </c>
    </row>
    <row r="4" spans="1:12" ht="17.399999999999999" x14ac:dyDescent="0.3">
      <c r="B4" s="119" t="s">
        <v>1770</v>
      </c>
      <c r="C4" s="120"/>
      <c r="D4" s="120"/>
      <c r="E4" s="120"/>
      <c r="F4" s="121"/>
      <c r="G4" s="121"/>
      <c r="H4" s="121"/>
      <c r="I4" s="120"/>
      <c r="J4" s="122"/>
    </row>
    <row r="5" spans="1:12" ht="17.399999999999999" x14ac:dyDescent="0.3">
      <c r="B5" s="123" t="s">
        <v>3012</v>
      </c>
      <c r="C5" s="124"/>
      <c r="D5" s="124"/>
      <c r="E5" s="124"/>
      <c r="F5" s="125"/>
      <c r="G5" s="125"/>
      <c r="H5" s="125"/>
      <c r="I5" s="124"/>
      <c r="J5" s="126"/>
    </row>
    <row r="6" spans="1:12" ht="17.399999999999999" hidden="1" x14ac:dyDescent="0.3">
      <c r="B6" s="127"/>
      <c r="C6" s="128"/>
      <c r="D6" s="128"/>
      <c r="E6" s="128"/>
      <c r="F6" s="129"/>
      <c r="G6" s="129"/>
      <c r="H6" s="129"/>
      <c r="I6" s="128"/>
    </row>
    <row r="7" spans="1:12" ht="39" customHeight="1" thickBot="1" x14ac:dyDescent="0.35">
      <c r="B7" s="130" t="s">
        <v>1768</v>
      </c>
      <c r="C7" s="130" t="s">
        <v>176</v>
      </c>
      <c r="D7" s="130" t="s">
        <v>175</v>
      </c>
      <c r="E7" s="130" t="s">
        <v>264</v>
      </c>
      <c r="F7" s="131" t="s">
        <v>1771</v>
      </c>
      <c r="G7" s="131" t="s">
        <v>1772</v>
      </c>
      <c r="H7" s="132" t="s">
        <v>1773</v>
      </c>
      <c r="I7" s="133" t="s">
        <v>1774</v>
      </c>
      <c r="J7" s="133" t="s">
        <v>1775</v>
      </c>
    </row>
    <row r="8" spans="1:12" ht="18" customHeight="1" x14ac:dyDescent="0.3">
      <c r="B8" s="134" t="s">
        <v>1769</v>
      </c>
      <c r="C8" s="134" t="s">
        <v>1776</v>
      </c>
      <c r="D8" s="134" t="s">
        <v>1777</v>
      </c>
      <c r="E8" s="134" t="s">
        <v>1778</v>
      </c>
      <c r="F8" s="135">
        <v>47520</v>
      </c>
      <c r="G8" s="135">
        <v>45619.199999999997</v>
      </c>
      <c r="H8" s="135">
        <f t="shared" ref="H8:H71" si="0">F8-G8</f>
        <v>1900.8000000000029</v>
      </c>
      <c r="I8" s="136">
        <v>0.247</v>
      </c>
      <c r="J8" s="137">
        <v>6</v>
      </c>
    </row>
    <row r="9" spans="1:12" ht="18" customHeight="1" x14ac:dyDescent="0.3">
      <c r="B9" s="134" t="s">
        <v>1769</v>
      </c>
      <c r="C9" s="134" t="s">
        <v>1776</v>
      </c>
      <c r="D9" s="134" t="s">
        <v>1777</v>
      </c>
      <c r="E9" s="134" t="s">
        <v>1779</v>
      </c>
      <c r="F9" s="135">
        <v>91463.039999999994</v>
      </c>
      <c r="G9" s="135">
        <v>72255.801599999992</v>
      </c>
      <c r="H9" s="135">
        <f t="shared" si="0"/>
        <v>19207.238400000002</v>
      </c>
      <c r="I9" s="136">
        <v>0.35599999999999998</v>
      </c>
      <c r="J9" s="137">
        <v>8</v>
      </c>
    </row>
    <row r="10" spans="1:12" ht="18" customHeight="1" x14ac:dyDescent="0.3">
      <c r="B10" s="134" t="s">
        <v>1769</v>
      </c>
      <c r="C10" s="134" t="s">
        <v>1776</v>
      </c>
      <c r="D10" s="134" t="s">
        <v>1777</v>
      </c>
      <c r="E10" s="134" t="s">
        <v>1778</v>
      </c>
      <c r="F10" s="135">
        <v>356040</v>
      </c>
      <c r="G10" s="135">
        <v>259909.2</v>
      </c>
      <c r="H10" s="135">
        <f t="shared" si="0"/>
        <v>96130.799999999988</v>
      </c>
      <c r="I10" s="136">
        <v>0.255</v>
      </c>
      <c r="J10" s="137">
        <v>2</v>
      </c>
    </row>
    <row r="11" spans="1:12" ht="18" customHeight="1" x14ac:dyDescent="0.3">
      <c r="B11" s="134" t="s">
        <v>1769</v>
      </c>
      <c r="C11" s="134" t="s">
        <v>1776</v>
      </c>
      <c r="D11" s="134" t="s">
        <v>1777</v>
      </c>
      <c r="E11" s="134" t="s">
        <v>1779</v>
      </c>
      <c r="F11" s="135">
        <v>154275.84</v>
      </c>
      <c r="G11" s="135">
        <v>143476.5312</v>
      </c>
      <c r="H11" s="135">
        <f t="shared" si="0"/>
        <v>10799.308799999999</v>
      </c>
      <c r="I11" s="136">
        <v>0.65</v>
      </c>
      <c r="J11" s="137">
        <v>9</v>
      </c>
    </row>
    <row r="12" spans="1:12" ht="18" customHeight="1" x14ac:dyDescent="0.3">
      <c r="B12" s="134" t="s">
        <v>1769</v>
      </c>
      <c r="C12" s="134" t="s">
        <v>1776</v>
      </c>
      <c r="D12" s="134" t="s">
        <v>1777</v>
      </c>
      <c r="E12" s="134" t="s">
        <v>1778</v>
      </c>
      <c r="F12" s="135">
        <v>113923.584</v>
      </c>
      <c r="G12" s="135">
        <v>93417.338879999996</v>
      </c>
      <c r="H12" s="135">
        <f t="shared" si="0"/>
        <v>20506.245120000007</v>
      </c>
      <c r="I12" s="136">
        <v>0.255</v>
      </c>
      <c r="J12" s="137">
        <v>6</v>
      </c>
    </row>
    <row r="13" spans="1:12" ht="18" customHeight="1" x14ac:dyDescent="0.3">
      <c r="B13" s="134" t="s">
        <v>1769</v>
      </c>
      <c r="C13" s="134" t="s">
        <v>1776</v>
      </c>
      <c r="D13" s="134" t="s">
        <v>1780</v>
      </c>
      <c r="E13" s="134" t="s">
        <v>1779</v>
      </c>
      <c r="F13" s="135">
        <v>94936.320000000007</v>
      </c>
      <c r="G13" s="135">
        <v>77847.782399999996</v>
      </c>
      <c r="H13" s="135">
        <f t="shared" si="0"/>
        <v>17088.537600000011</v>
      </c>
      <c r="I13" s="136">
        <v>0.315</v>
      </c>
      <c r="J13" s="137">
        <v>9</v>
      </c>
    </row>
    <row r="14" spans="1:12" ht="18" customHeight="1" x14ac:dyDescent="0.3">
      <c r="B14" s="134" t="s">
        <v>1769</v>
      </c>
      <c r="C14" s="134" t="s">
        <v>1776</v>
      </c>
      <c r="D14" s="134" t="s">
        <v>1780</v>
      </c>
      <c r="E14" s="134" t="s">
        <v>1778</v>
      </c>
      <c r="F14" s="135">
        <v>90305.279999999999</v>
      </c>
      <c r="G14" s="135">
        <v>70438.118399999992</v>
      </c>
      <c r="H14" s="135">
        <f t="shared" si="0"/>
        <v>19867.161600000007</v>
      </c>
      <c r="I14" s="136">
        <v>0.255</v>
      </c>
      <c r="J14" s="137"/>
    </row>
    <row r="15" spans="1:12" ht="18" customHeight="1" x14ac:dyDescent="0.3">
      <c r="B15" s="134" t="s">
        <v>1769</v>
      </c>
      <c r="C15" s="134" t="s">
        <v>1776</v>
      </c>
      <c r="D15" s="134" t="s">
        <v>1780</v>
      </c>
      <c r="E15" s="134" t="s">
        <v>1779</v>
      </c>
      <c r="F15" s="135">
        <v>394275.84000000003</v>
      </c>
      <c r="G15" s="135">
        <v>366676.53120000003</v>
      </c>
      <c r="H15" s="135">
        <f t="shared" si="0"/>
        <v>27599.308799999999</v>
      </c>
      <c r="I15" s="136">
        <v>0.154</v>
      </c>
      <c r="J15" s="137">
        <v>0</v>
      </c>
    </row>
    <row r="16" spans="1:12" ht="18" customHeight="1" x14ac:dyDescent="0.3">
      <c r="B16" s="134" t="s">
        <v>1769</v>
      </c>
      <c r="C16" s="134" t="s">
        <v>1776</v>
      </c>
      <c r="D16" s="134" t="s">
        <v>1780</v>
      </c>
      <c r="E16" s="134" t="s">
        <v>1778</v>
      </c>
      <c r="F16" s="135">
        <v>116121.60000000001</v>
      </c>
      <c r="G16" s="135">
        <v>84768.767999999996</v>
      </c>
      <c r="H16" s="135">
        <f t="shared" si="0"/>
        <v>31352.832000000009</v>
      </c>
      <c r="I16" s="136">
        <v>0.13400000000000001</v>
      </c>
      <c r="J16" s="137">
        <v>3</v>
      </c>
    </row>
    <row r="17" spans="2:10" ht="18" customHeight="1" x14ac:dyDescent="0.3">
      <c r="B17" s="134" t="s">
        <v>1769</v>
      </c>
      <c r="C17" s="134" t="s">
        <v>1776</v>
      </c>
      <c r="D17" s="134" t="s">
        <v>1781</v>
      </c>
      <c r="E17" s="134" t="s">
        <v>1778</v>
      </c>
      <c r="F17" s="135">
        <v>92620.800000000003</v>
      </c>
      <c r="G17" s="135">
        <v>82432.511999999988</v>
      </c>
      <c r="H17" s="135">
        <f t="shared" si="0"/>
        <v>10188.288000000015</v>
      </c>
      <c r="I17" s="136">
        <v>0.187</v>
      </c>
      <c r="J17" s="137">
        <v>3</v>
      </c>
    </row>
    <row r="18" spans="2:10" ht="18" customHeight="1" x14ac:dyDescent="0.3">
      <c r="B18" s="134" t="s">
        <v>1769</v>
      </c>
      <c r="C18" s="134" t="s">
        <v>1776</v>
      </c>
      <c r="D18" s="134" t="s">
        <v>1781</v>
      </c>
      <c r="E18" s="134" t="s">
        <v>1779</v>
      </c>
      <c r="F18" s="135">
        <v>69465.600000000006</v>
      </c>
      <c r="G18" s="135">
        <v>66686.975999999995</v>
      </c>
      <c r="H18" s="135">
        <f t="shared" si="0"/>
        <v>2778.6240000000107</v>
      </c>
      <c r="I18" s="136">
        <v>0.54400000000000004</v>
      </c>
      <c r="J18" s="137">
        <v>9</v>
      </c>
    </row>
    <row r="19" spans="2:10" ht="18" customHeight="1" x14ac:dyDescent="0.3">
      <c r="B19" s="134" t="s">
        <v>1769</v>
      </c>
      <c r="C19" s="134" t="s">
        <v>1776</v>
      </c>
      <c r="D19" s="134" t="s">
        <v>1781</v>
      </c>
      <c r="E19" s="134" t="s">
        <v>1778</v>
      </c>
      <c r="F19" s="135">
        <v>261004.79999999999</v>
      </c>
      <c r="G19" s="135">
        <v>221854.07999999999</v>
      </c>
      <c r="H19" s="135">
        <f t="shared" si="0"/>
        <v>39150.720000000001</v>
      </c>
      <c r="I19" s="136">
        <v>0.23300000000000001</v>
      </c>
      <c r="J19" s="137">
        <v>6</v>
      </c>
    </row>
    <row r="20" spans="2:10" ht="18" customHeight="1" x14ac:dyDescent="0.3">
      <c r="B20" s="134" t="s">
        <v>1769</v>
      </c>
      <c r="C20" s="134" t="s">
        <v>1776</v>
      </c>
      <c r="D20" s="134" t="s">
        <v>1781</v>
      </c>
      <c r="E20" s="134" t="s">
        <v>1779</v>
      </c>
      <c r="F20" s="135">
        <v>57024</v>
      </c>
      <c r="G20" s="135">
        <v>54743.040000000001</v>
      </c>
      <c r="H20" s="135">
        <f t="shared" si="0"/>
        <v>2280.9599999999991</v>
      </c>
      <c r="I20" s="136">
        <v>0.56399999999999995</v>
      </c>
      <c r="J20" s="137">
        <v>8</v>
      </c>
    </row>
    <row r="21" spans="2:10" ht="18" customHeight="1" x14ac:dyDescent="0.3">
      <c r="B21" s="134" t="s">
        <v>1782</v>
      </c>
      <c r="C21" s="134" t="s">
        <v>1783</v>
      </c>
      <c r="D21" s="134" t="s">
        <v>1784</v>
      </c>
      <c r="E21" s="134" t="s">
        <v>1779</v>
      </c>
      <c r="F21" s="135">
        <v>181988</v>
      </c>
      <c r="G21" s="135">
        <v>205646.44</v>
      </c>
      <c r="H21" s="135">
        <f t="shared" si="0"/>
        <v>-23658.440000000002</v>
      </c>
      <c r="I21" s="136">
        <v>0.432</v>
      </c>
      <c r="J21" s="137">
        <v>2</v>
      </c>
    </row>
    <row r="22" spans="2:10" ht="18" customHeight="1" x14ac:dyDescent="0.3">
      <c r="B22" s="134" t="s">
        <v>1782</v>
      </c>
      <c r="C22" s="134" t="s">
        <v>1783</v>
      </c>
      <c r="D22" s="134" t="s">
        <v>1784</v>
      </c>
      <c r="E22" s="134" t="s">
        <v>1779</v>
      </c>
      <c r="F22" s="135">
        <v>121197.6</v>
      </c>
      <c r="G22" s="135">
        <v>112713.76800000001</v>
      </c>
      <c r="H22" s="135">
        <f t="shared" si="0"/>
        <v>8483.8319999999949</v>
      </c>
      <c r="I22" s="136">
        <v>0.154</v>
      </c>
      <c r="J22" s="137">
        <v>4</v>
      </c>
    </row>
    <row r="23" spans="2:10" ht="18" customHeight="1" x14ac:dyDescent="0.3">
      <c r="B23" s="134" t="s">
        <v>1782</v>
      </c>
      <c r="C23" s="134" t="s">
        <v>1783</v>
      </c>
      <c r="D23" s="134" t="s">
        <v>1784</v>
      </c>
      <c r="E23" s="134" t="s">
        <v>1778</v>
      </c>
      <c r="F23" s="135">
        <v>432900</v>
      </c>
      <c r="G23" s="135">
        <v>367965</v>
      </c>
      <c r="H23" s="135">
        <f t="shared" si="0"/>
        <v>64935</v>
      </c>
      <c r="I23" s="136">
        <v>0.247</v>
      </c>
      <c r="J23" s="137">
        <v>2</v>
      </c>
    </row>
    <row r="24" spans="2:10" ht="18" customHeight="1" x14ac:dyDescent="0.3">
      <c r="B24" s="134" t="s">
        <v>1782</v>
      </c>
      <c r="C24" s="134" t="s">
        <v>1783</v>
      </c>
      <c r="D24" s="134" t="s">
        <v>1784</v>
      </c>
      <c r="E24" s="134" t="s">
        <v>1778</v>
      </c>
      <c r="F24" s="135">
        <v>96768</v>
      </c>
      <c r="G24" s="135">
        <v>70640.639999999999</v>
      </c>
      <c r="H24" s="135">
        <f t="shared" si="0"/>
        <v>26127.360000000001</v>
      </c>
      <c r="I24" s="136">
        <v>0.318</v>
      </c>
      <c r="J24" s="137">
        <v>2</v>
      </c>
    </row>
    <row r="25" spans="2:10" ht="18" customHeight="1" x14ac:dyDescent="0.3">
      <c r="B25" s="134" t="s">
        <v>1782</v>
      </c>
      <c r="C25" s="134" t="s">
        <v>1785</v>
      </c>
      <c r="D25" s="134" t="s">
        <v>1786</v>
      </c>
      <c r="E25" s="134" t="s">
        <v>1779</v>
      </c>
      <c r="F25" s="135">
        <v>121197.6</v>
      </c>
      <c r="G25" s="135">
        <v>112713.76800000001</v>
      </c>
      <c r="H25" s="135">
        <f t="shared" si="0"/>
        <v>8483.8319999999949</v>
      </c>
      <c r="I25" s="136">
        <v>0.45</v>
      </c>
      <c r="J25" s="137">
        <v>13</v>
      </c>
    </row>
    <row r="26" spans="2:10" ht="18" customHeight="1" x14ac:dyDescent="0.3">
      <c r="B26" s="134" t="s">
        <v>1782</v>
      </c>
      <c r="C26" s="134" t="s">
        <v>1785</v>
      </c>
      <c r="D26" s="134" t="s">
        <v>1786</v>
      </c>
      <c r="E26" s="134" t="s">
        <v>1779</v>
      </c>
      <c r="F26" s="135">
        <v>121197.6</v>
      </c>
      <c r="G26" s="135">
        <v>112713.76800000001</v>
      </c>
      <c r="H26" s="135">
        <f t="shared" si="0"/>
        <v>8483.8319999999949</v>
      </c>
      <c r="I26" s="136">
        <v>0.23300000000000001</v>
      </c>
      <c r="J26" s="137"/>
    </row>
    <row r="27" spans="2:10" ht="18" customHeight="1" x14ac:dyDescent="0.3">
      <c r="B27" s="134" t="s">
        <v>1782</v>
      </c>
      <c r="C27" s="134" t="s">
        <v>1785</v>
      </c>
      <c r="D27" s="134" t="s">
        <v>1786</v>
      </c>
      <c r="E27" s="134" t="s">
        <v>1779</v>
      </c>
      <c r="F27" s="135">
        <v>110772</v>
      </c>
      <c r="G27" s="135">
        <v>94156.2</v>
      </c>
      <c r="H27" s="135">
        <f t="shared" si="0"/>
        <v>16615.800000000003</v>
      </c>
      <c r="I27" s="136">
        <v>0.39800000000000002</v>
      </c>
      <c r="J27" s="137">
        <v>9</v>
      </c>
    </row>
    <row r="28" spans="2:10" ht="18" customHeight="1" x14ac:dyDescent="0.3">
      <c r="B28" s="134" t="s">
        <v>1782</v>
      </c>
      <c r="C28" s="134" t="s">
        <v>1783</v>
      </c>
      <c r="D28" s="134" t="s">
        <v>1787</v>
      </c>
      <c r="E28" s="134" t="s">
        <v>1778</v>
      </c>
      <c r="F28" s="135">
        <v>128563.2</v>
      </c>
      <c r="G28" s="135">
        <v>119563.776</v>
      </c>
      <c r="H28" s="135">
        <f t="shared" si="0"/>
        <v>8999.4239999999991</v>
      </c>
      <c r="I28" s="136">
        <v>0.39800000000000002</v>
      </c>
      <c r="J28" s="137">
        <v>8</v>
      </c>
    </row>
    <row r="29" spans="2:10" ht="18" customHeight="1" x14ac:dyDescent="0.3">
      <c r="B29" s="134" t="s">
        <v>1782</v>
      </c>
      <c r="C29" s="134" t="s">
        <v>1783</v>
      </c>
      <c r="D29" s="134" t="s">
        <v>1787</v>
      </c>
      <c r="E29" s="134" t="s">
        <v>1778</v>
      </c>
      <c r="F29" s="135">
        <v>128563.2</v>
      </c>
      <c r="G29" s="135">
        <v>119563.776</v>
      </c>
      <c r="H29" s="135">
        <f t="shared" si="0"/>
        <v>8999.4239999999991</v>
      </c>
      <c r="I29" s="136">
        <v>0.23300000000000001</v>
      </c>
      <c r="J29" s="137">
        <v>1</v>
      </c>
    </row>
    <row r="30" spans="2:10" ht="18" customHeight="1" x14ac:dyDescent="0.3">
      <c r="B30" s="134" t="s">
        <v>1782</v>
      </c>
      <c r="C30" s="134" t="s">
        <v>1783</v>
      </c>
      <c r="D30" s="134" t="s">
        <v>1788</v>
      </c>
      <c r="E30" s="134" t="s">
        <v>1778</v>
      </c>
      <c r="F30" s="135">
        <v>76032</v>
      </c>
      <c r="G30" s="135">
        <v>75271.679999999993</v>
      </c>
      <c r="H30" s="135">
        <f t="shared" si="0"/>
        <v>760.32000000000698</v>
      </c>
      <c r="I30" s="136">
        <v>0.65</v>
      </c>
      <c r="J30" s="137">
        <v>4</v>
      </c>
    </row>
    <row r="31" spans="2:10" ht="18" customHeight="1" x14ac:dyDescent="0.3">
      <c r="B31" s="134" t="s">
        <v>1782</v>
      </c>
      <c r="C31" s="134" t="s">
        <v>1785</v>
      </c>
      <c r="D31" s="134" t="s">
        <v>1789</v>
      </c>
      <c r="E31" s="134" t="s">
        <v>1779</v>
      </c>
      <c r="F31" s="135">
        <v>110772</v>
      </c>
      <c r="G31" s="135">
        <v>125172.36</v>
      </c>
      <c r="H31" s="135">
        <f t="shared" si="0"/>
        <v>-14400.36</v>
      </c>
      <c r="I31" s="136">
        <v>0.23300000000000001</v>
      </c>
      <c r="J31" s="137"/>
    </row>
    <row r="32" spans="2:10" ht="18" customHeight="1" x14ac:dyDescent="0.3">
      <c r="B32" s="134" t="s">
        <v>1782</v>
      </c>
      <c r="C32" s="134" t="s">
        <v>1785</v>
      </c>
      <c r="D32" s="134" t="s">
        <v>1789</v>
      </c>
      <c r="E32" s="134" t="s">
        <v>1779</v>
      </c>
      <c r="F32" s="135">
        <v>110772</v>
      </c>
      <c r="G32" s="135">
        <v>125172.36</v>
      </c>
      <c r="H32" s="135">
        <f t="shared" si="0"/>
        <v>-14400.36</v>
      </c>
      <c r="I32" s="136">
        <v>0.318</v>
      </c>
      <c r="J32" s="137">
        <v>1</v>
      </c>
    </row>
    <row r="33" spans="2:10" ht="18" customHeight="1" x14ac:dyDescent="0.3">
      <c r="B33" s="134" t="s">
        <v>1782</v>
      </c>
      <c r="C33" s="134" t="s">
        <v>1785</v>
      </c>
      <c r="D33" s="134" t="s">
        <v>1789</v>
      </c>
      <c r="E33" s="134" t="s">
        <v>1779</v>
      </c>
      <c r="F33" s="135">
        <v>91224</v>
      </c>
      <c r="G33" s="135">
        <v>66593.52</v>
      </c>
      <c r="H33" s="135">
        <f t="shared" si="0"/>
        <v>24630.479999999996</v>
      </c>
      <c r="I33" s="136">
        <v>0.65</v>
      </c>
      <c r="J33" s="137">
        <v>6</v>
      </c>
    </row>
    <row r="34" spans="2:10" ht="18" customHeight="1" x14ac:dyDescent="0.3">
      <c r="B34" s="134" t="s">
        <v>1782</v>
      </c>
      <c r="C34" s="134" t="s">
        <v>1785</v>
      </c>
      <c r="D34" s="134" t="s">
        <v>1789</v>
      </c>
      <c r="E34" s="134" t="s">
        <v>1779</v>
      </c>
      <c r="F34" s="135">
        <v>91224</v>
      </c>
      <c r="G34" s="135">
        <v>127713.60000000001</v>
      </c>
      <c r="H34" s="135">
        <f t="shared" si="0"/>
        <v>-36489.600000000006</v>
      </c>
      <c r="I34" s="136">
        <v>0.247</v>
      </c>
      <c r="J34" s="137">
        <v>4</v>
      </c>
    </row>
    <row r="35" spans="2:10" ht="18" customHeight="1" x14ac:dyDescent="0.3">
      <c r="B35" s="134" t="s">
        <v>1782</v>
      </c>
      <c r="C35" s="134" t="s">
        <v>1785</v>
      </c>
      <c r="D35" s="134" t="s">
        <v>1789</v>
      </c>
      <c r="E35" s="134" t="s">
        <v>1779</v>
      </c>
      <c r="F35" s="135">
        <v>71676</v>
      </c>
      <c r="G35" s="135">
        <v>70959.240000000005</v>
      </c>
      <c r="H35" s="135">
        <f t="shared" si="0"/>
        <v>716.75999999999476</v>
      </c>
      <c r="I35" s="136">
        <v>0.13400000000000001</v>
      </c>
      <c r="J35" s="137">
        <v>9</v>
      </c>
    </row>
    <row r="36" spans="2:10" ht="18" customHeight="1" x14ac:dyDescent="0.3">
      <c r="B36" s="134" t="s">
        <v>1782</v>
      </c>
      <c r="C36" s="134" t="s">
        <v>1785</v>
      </c>
      <c r="D36" s="134" t="s">
        <v>1789</v>
      </c>
      <c r="E36" s="134" t="s">
        <v>1778</v>
      </c>
      <c r="F36" s="135">
        <v>217504</v>
      </c>
      <c r="G36" s="135">
        <v>184878.4</v>
      </c>
      <c r="H36" s="135">
        <f t="shared" si="0"/>
        <v>32625.600000000006</v>
      </c>
      <c r="I36" s="136">
        <v>0.23300000000000001</v>
      </c>
      <c r="J36" s="137">
        <v>9</v>
      </c>
    </row>
    <row r="37" spans="2:10" ht="18" customHeight="1" x14ac:dyDescent="0.3">
      <c r="B37" s="134" t="s">
        <v>1782</v>
      </c>
      <c r="C37" s="134" t="s">
        <v>1785</v>
      </c>
      <c r="D37" s="134" t="s">
        <v>1789</v>
      </c>
      <c r="E37" s="134" t="s">
        <v>1778</v>
      </c>
      <c r="F37" s="135">
        <v>128563.2</v>
      </c>
      <c r="G37" s="135">
        <v>119563.776</v>
      </c>
      <c r="H37" s="135">
        <f t="shared" si="0"/>
        <v>8999.4239999999991</v>
      </c>
      <c r="I37" s="136">
        <v>0.154</v>
      </c>
      <c r="J37" s="137">
        <v>3</v>
      </c>
    </row>
    <row r="38" spans="2:10" ht="18" customHeight="1" x14ac:dyDescent="0.3">
      <c r="B38" s="134" t="s">
        <v>1790</v>
      </c>
      <c r="C38" s="134" t="s">
        <v>1776</v>
      </c>
      <c r="D38" s="134" t="s">
        <v>1777</v>
      </c>
      <c r="E38" s="134" t="s">
        <v>1791</v>
      </c>
      <c r="F38" s="135">
        <v>94936.320000000007</v>
      </c>
      <c r="G38" s="135">
        <v>77847.782399999996</v>
      </c>
      <c r="H38" s="135">
        <f t="shared" si="0"/>
        <v>17088.537600000011</v>
      </c>
      <c r="I38" s="136">
        <v>0.56399999999999995</v>
      </c>
      <c r="J38" s="137">
        <v>8</v>
      </c>
    </row>
    <row r="39" spans="2:10" ht="18" customHeight="1" x14ac:dyDescent="0.3">
      <c r="B39" s="134" t="s">
        <v>1790</v>
      </c>
      <c r="C39" s="134" t="s">
        <v>1776</v>
      </c>
      <c r="D39" s="134" t="s">
        <v>1777</v>
      </c>
      <c r="E39" s="134" t="s">
        <v>1792</v>
      </c>
      <c r="F39" s="135">
        <v>90305.279999999999</v>
      </c>
      <c r="G39" s="135">
        <v>70438.118399999992</v>
      </c>
      <c r="H39" s="135">
        <f t="shared" si="0"/>
        <v>19867.161600000007</v>
      </c>
      <c r="I39" s="138">
        <v>0.26500000000000001</v>
      </c>
      <c r="J39" s="137">
        <v>2</v>
      </c>
    </row>
    <row r="40" spans="2:10" ht="18" customHeight="1" x14ac:dyDescent="0.3">
      <c r="B40" s="134" t="s">
        <v>1790</v>
      </c>
      <c r="C40" s="134" t="s">
        <v>1776</v>
      </c>
      <c r="D40" s="134" t="s">
        <v>1777</v>
      </c>
      <c r="E40" s="134" t="s">
        <v>1791</v>
      </c>
      <c r="F40" s="135">
        <v>519480</v>
      </c>
      <c r="G40" s="135">
        <v>441558</v>
      </c>
      <c r="H40" s="135">
        <f t="shared" si="0"/>
        <v>77922</v>
      </c>
      <c r="I40" s="136">
        <v>0.39800000000000002</v>
      </c>
      <c r="J40" s="137">
        <v>6</v>
      </c>
    </row>
    <row r="41" spans="2:10" ht="18" customHeight="1" x14ac:dyDescent="0.3">
      <c r="B41" s="134" t="s">
        <v>1790</v>
      </c>
      <c r="C41" s="134" t="s">
        <v>1776</v>
      </c>
      <c r="D41" s="134" t="s">
        <v>1777</v>
      </c>
      <c r="E41" s="134" t="s">
        <v>1792</v>
      </c>
      <c r="F41" s="135">
        <v>91238.399999999994</v>
      </c>
      <c r="G41" s="135">
        <v>90326.015999999989</v>
      </c>
      <c r="H41" s="135">
        <f t="shared" si="0"/>
        <v>912.38400000000547</v>
      </c>
      <c r="I41" s="136">
        <v>0.315</v>
      </c>
      <c r="J41" s="137">
        <v>9</v>
      </c>
    </row>
    <row r="42" spans="2:10" ht="18" customHeight="1" x14ac:dyDescent="0.3">
      <c r="B42" s="134" t="s">
        <v>1790</v>
      </c>
      <c r="C42" s="134" t="s">
        <v>1776</v>
      </c>
      <c r="D42" s="134" t="s">
        <v>1780</v>
      </c>
      <c r="E42" s="134" t="s">
        <v>1792</v>
      </c>
      <c r="F42" s="135">
        <v>92620.800000000003</v>
      </c>
      <c r="G42" s="135">
        <v>104661.504</v>
      </c>
      <c r="H42" s="135">
        <f t="shared" si="0"/>
        <v>-12040.703999999998</v>
      </c>
      <c r="I42" s="136">
        <v>0.255</v>
      </c>
      <c r="J42" s="137">
        <v>9</v>
      </c>
    </row>
    <row r="43" spans="2:10" ht="18" customHeight="1" x14ac:dyDescent="0.3">
      <c r="B43" s="134" t="s">
        <v>1790</v>
      </c>
      <c r="C43" s="134" t="s">
        <v>1776</v>
      </c>
      <c r="D43" s="134" t="s">
        <v>1780</v>
      </c>
      <c r="E43" s="134" t="s">
        <v>1791</v>
      </c>
      <c r="F43" s="135">
        <v>69465.600000000006</v>
      </c>
      <c r="G43" s="135">
        <v>66686.975999999995</v>
      </c>
      <c r="H43" s="135">
        <f t="shared" si="0"/>
        <v>2778.6240000000107</v>
      </c>
      <c r="I43" s="136">
        <v>0.56399999999999995</v>
      </c>
      <c r="J43" s="137">
        <v>8</v>
      </c>
    </row>
    <row r="44" spans="2:10" ht="18" customHeight="1" x14ac:dyDescent="0.3">
      <c r="B44" s="134" t="s">
        <v>1790</v>
      </c>
      <c r="C44" s="134" t="s">
        <v>1776</v>
      </c>
      <c r="D44" s="134" t="s">
        <v>1780</v>
      </c>
      <c r="E44" s="134" t="s">
        <v>1792</v>
      </c>
      <c r="F44" s="135">
        <v>154275.84</v>
      </c>
      <c r="G44" s="135">
        <v>143476.5312</v>
      </c>
      <c r="H44" s="135">
        <f t="shared" si="0"/>
        <v>10799.308799999999</v>
      </c>
      <c r="I44" s="136">
        <v>0.318</v>
      </c>
      <c r="J44" s="137">
        <v>4</v>
      </c>
    </row>
    <row r="45" spans="2:10" ht="18" customHeight="1" x14ac:dyDescent="0.3">
      <c r="B45" s="134" t="s">
        <v>1790</v>
      </c>
      <c r="C45" s="134" t="s">
        <v>1776</v>
      </c>
      <c r="D45" s="134" t="s">
        <v>1780</v>
      </c>
      <c r="E45" s="134" t="s">
        <v>1791</v>
      </c>
      <c r="F45" s="135">
        <v>113923.584</v>
      </c>
      <c r="G45" s="135">
        <v>93417.338879999996</v>
      </c>
      <c r="H45" s="135">
        <f t="shared" si="0"/>
        <v>20506.245120000007</v>
      </c>
      <c r="I45" s="136">
        <v>0.187</v>
      </c>
      <c r="J45" s="137">
        <v>5</v>
      </c>
    </row>
    <row r="46" spans="2:10" ht="18" customHeight="1" x14ac:dyDescent="0.3">
      <c r="B46" s="134" t="s">
        <v>1790</v>
      </c>
      <c r="C46" s="134" t="s">
        <v>1776</v>
      </c>
      <c r="D46" s="134" t="s">
        <v>1781</v>
      </c>
      <c r="E46" s="134" t="s">
        <v>1792</v>
      </c>
      <c r="F46" s="135">
        <v>94936.320000000007</v>
      </c>
      <c r="G46" s="135">
        <v>77847.782399999996</v>
      </c>
      <c r="H46" s="135">
        <f t="shared" si="0"/>
        <v>17088.537600000011</v>
      </c>
      <c r="I46" s="136">
        <v>0.13400000000000001</v>
      </c>
      <c r="J46" s="137">
        <v>4</v>
      </c>
    </row>
    <row r="47" spans="2:10" ht="18" customHeight="1" x14ac:dyDescent="0.3">
      <c r="B47" s="134" t="s">
        <v>1790</v>
      </c>
      <c r="C47" s="134" t="s">
        <v>1776</v>
      </c>
      <c r="D47" s="134" t="s">
        <v>1781</v>
      </c>
      <c r="E47" s="134" t="s">
        <v>1791</v>
      </c>
      <c r="F47" s="135">
        <v>91463.039999999994</v>
      </c>
      <c r="G47" s="135">
        <v>72255.801599999992</v>
      </c>
      <c r="H47" s="135">
        <f t="shared" si="0"/>
        <v>19207.238400000002</v>
      </c>
      <c r="I47" s="136">
        <v>0.27600000000000002</v>
      </c>
      <c r="J47" s="137">
        <v>5</v>
      </c>
    </row>
    <row r="48" spans="2:10" ht="18" customHeight="1" x14ac:dyDescent="0.3">
      <c r="B48" s="134" t="s">
        <v>1790</v>
      </c>
      <c r="C48" s="134" t="s">
        <v>1776</v>
      </c>
      <c r="D48" s="134" t="s">
        <v>1781</v>
      </c>
      <c r="E48" s="134" t="s">
        <v>1792</v>
      </c>
      <c r="F48" s="135">
        <v>1447185.6</v>
      </c>
      <c r="G48" s="135">
        <v>1287995.1840000001</v>
      </c>
      <c r="H48" s="135">
        <f t="shared" si="0"/>
        <v>159190.41599999997</v>
      </c>
      <c r="I48" s="136">
        <v>0.23300000000000001</v>
      </c>
      <c r="J48" s="137">
        <v>9</v>
      </c>
    </row>
    <row r="49" spans="2:10" ht="18" customHeight="1" x14ac:dyDescent="0.3">
      <c r="B49" s="134" t="s">
        <v>1790</v>
      </c>
      <c r="C49" s="134" t="s">
        <v>1776</v>
      </c>
      <c r="D49" s="134" t="s">
        <v>1781</v>
      </c>
      <c r="E49" s="134" t="s">
        <v>1791</v>
      </c>
      <c r="F49" s="135">
        <v>154275.84</v>
      </c>
      <c r="G49" s="135">
        <v>143476.5312</v>
      </c>
      <c r="H49" s="135">
        <f t="shared" si="0"/>
        <v>10799.308799999999</v>
      </c>
      <c r="I49" s="136">
        <v>0.247</v>
      </c>
      <c r="J49" s="137">
        <v>8</v>
      </c>
    </row>
    <row r="50" spans="2:10" ht="18" customHeight="1" x14ac:dyDescent="0.3">
      <c r="B50" s="134" t="s">
        <v>1790</v>
      </c>
      <c r="C50" s="134" t="s">
        <v>1776</v>
      </c>
      <c r="D50" s="134" t="s">
        <v>1781</v>
      </c>
      <c r="E50" s="134" t="s">
        <v>1792</v>
      </c>
      <c r="F50" s="135">
        <v>113923.584</v>
      </c>
      <c r="G50" s="135">
        <v>93417.338879999996</v>
      </c>
      <c r="H50" s="135">
        <f t="shared" si="0"/>
        <v>20506.245120000007</v>
      </c>
      <c r="I50" s="136">
        <v>0.35599999999999998</v>
      </c>
      <c r="J50" s="137">
        <v>2</v>
      </c>
    </row>
    <row r="51" spans="2:10" ht="18" customHeight="1" x14ac:dyDescent="0.3">
      <c r="B51" s="134" t="s">
        <v>1793</v>
      </c>
      <c r="C51" s="134" t="s">
        <v>1783</v>
      </c>
      <c r="D51" s="134" t="s">
        <v>1784</v>
      </c>
      <c r="E51" s="134" t="s">
        <v>1778</v>
      </c>
      <c r="F51" s="135">
        <v>1205988</v>
      </c>
      <c r="G51" s="135">
        <v>1073329.32</v>
      </c>
      <c r="H51" s="135">
        <f t="shared" si="0"/>
        <v>132658.67999999993</v>
      </c>
      <c r="I51" s="136">
        <v>0.432</v>
      </c>
      <c r="J51" s="137">
        <v>10</v>
      </c>
    </row>
    <row r="52" spans="2:10" ht="18" customHeight="1" x14ac:dyDescent="0.3">
      <c r="B52" s="134" t="s">
        <v>1793</v>
      </c>
      <c r="C52" s="134" t="s">
        <v>1783</v>
      </c>
      <c r="D52" s="134" t="s">
        <v>1784</v>
      </c>
      <c r="E52" s="134" t="s">
        <v>1778</v>
      </c>
      <c r="F52" s="135">
        <f>128563.2+200000</f>
        <v>328563.20000000001</v>
      </c>
      <c r="G52" s="135">
        <v>305563.77600000001</v>
      </c>
      <c r="H52" s="135">
        <f t="shared" si="0"/>
        <v>22999.423999999999</v>
      </c>
      <c r="I52" s="138">
        <v>0.39800000000000002</v>
      </c>
      <c r="J52" s="137">
        <v>3</v>
      </c>
    </row>
    <row r="53" spans="2:10" ht="18" customHeight="1" x14ac:dyDescent="0.3">
      <c r="B53" s="134" t="s">
        <v>1794</v>
      </c>
      <c r="C53" s="134" t="s">
        <v>1783</v>
      </c>
      <c r="D53" s="134" t="s">
        <v>1784</v>
      </c>
      <c r="E53" s="134" t="s">
        <v>1779</v>
      </c>
      <c r="F53" s="135">
        <v>71676</v>
      </c>
      <c r="G53" s="135">
        <v>70959.240000000005</v>
      </c>
      <c r="H53" s="135">
        <f t="shared" si="0"/>
        <v>716.75999999999476</v>
      </c>
      <c r="I53" s="136">
        <v>0.53300000000000003</v>
      </c>
      <c r="J53" s="137">
        <v>1</v>
      </c>
    </row>
    <row r="54" spans="2:10" ht="18" customHeight="1" x14ac:dyDescent="0.3">
      <c r="B54" s="134" t="s">
        <v>1794</v>
      </c>
      <c r="C54" s="134" t="s">
        <v>1783</v>
      </c>
      <c r="D54" s="134" t="s">
        <v>1784</v>
      </c>
      <c r="E54" s="134" t="s">
        <v>1791</v>
      </c>
      <c r="F54" s="135">
        <v>51480</v>
      </c>
      <c r="G54" s="135">
        <v>58172.4</v>
      </c>
      <c r="H54" s="135">
        <f t="shared" si="0"/>
        <v>-6692.4000000000015</v>
      </c>
      <c r="I54" s="138">
        <v>0.26500000000000001</v>
      </c>
      <c r="J54" s="137">
        <v>9</v>
      </c>
    </row>
    <row r="55" spans="2:10" ht="18" customHeight="1" x14ac:dyDescent="0.3">
      <c r="B55" s="134" t="s">
        <v>1794</v>
      </c>
      <c r="C55" s="134" t="s">
        <v>1783</v>
      </c>
      <c r="D55" s="134" t="s">
        <v>1784</v>
      </c>
      <c r="E55" s="134" t="s">
        <v>1791</v>
      </c>
      <c r="F55" s="135">
        <v>39600</v>
      </c>
      <c r="G55" s="135">
        <v>38016</v>
      </c>
      <c r="H55" s="135">
        <f t="shared" si="0"/>
        <v>1584</v>
      </c>
      <c r="I55" s="136">
        <v>0.56399999999999995</v>
      </c>
      <c r="J55" s="137">
        <v>2</v>
      </c>
    </row>
    <row r="56" spans="2:10" ht="18" customHeight="1" x14ac:dyDescent="0.3">
      <c r="B56" s="134" t="s">
        <v>1794</v>
      </c>
      <c r="C56" s="134" t="s">
        <v>1783</v>
      </c>
      <c r="D56" s="134" t="s">
        <v>1784</v>
      </c>
      <c r="E56" s="134" t="s">
        <v>1792</v>
      </c>
      <c r="F56" s="135">
        <v>79113.600000000006</v>
      </c>
      <c r="G56" s="135">
        <v>64873.152000000002</v>
      </c>
      <c r="H56" s="135">
        <f t="shared" si="0"/>
        <v>14240.448000000004</v>
      </c>
      <c r="I56" s="136">
        <v>0.27600000000000002</v>
      </c>
      <c r="J56" s="137">
        <v>0</v>
      </c>
    </row>
    <row r="57" spans="2:10" ht="18" customHeight="1" x14ac:dyDescent="0.3">
      <c r="B57" s="134" t="s">
        <v>1794</v>
      </c>
      <c r="C57" s="134" t="s">
        <v>1783</v>
      </c>
      <c r="D57" s="134" t="s">
        <v>1784</v>
      </c>
      <c r="E57" s="134" t="s">
        <v>1792</v>
      </c>
      <c r="F57" s="135">
        <v>79113.600000000006</v>
      </c>
      <c r="G57" s="135">
        <v>64873.152000000002</v>
      </c>
      <c r="H57" s="135">
        <f t="shared" si="0"/>
        <v>14240.448000000004</v>
      </c>
      <c r="I57" s="136">
        <v>0.54400000000000004</v>
      </c>
      <c r="J57" s="137">
        <v>6</v>
      </c>
    </row>
    <row r="58" spans="2:10" ht="18" customHeight="1" x14ac:dyDescent="0.3">
      <c r="B58" s="134" t="s">
        <v>1794</v>
      </c>
      <c r="C58" s="134" t="s">
        <v>1783</v>
      </c>
      <c r="D58" s="134" t="s">
        <v>1784</v>
      </c>
      <c r="E58" s="134" t="s">
        <v>1792</v>
      </c>
      <c r="F58" s="135">
        <v>57888</v>
      </c>
      <c r="G58" s="135">
        <v>55572.480000000003</v>
      </c>
      <c r="H58" s="135">
        <f t="shared" si="0"/>
        <v>2315.5199999999968</v>
      </c>
      <c r="I58" s="136">
        <v>0.315</v>
      </c>
      <c r="J58" s="137">
        <v>5</v>
      </c>
    </row>
    <row r="59" spans="2:10" ht="18" customHeight="1" x14ac:dyDescent="0.3">
      <c r="B59" s="134" t="s">
        <v>1794</v>
      </c>
      <c r="C59" s="134" t="s">
        <v>1783</v>
      </c>
      <c r="D59" s="134" t="s">
        <v>1784</v>
      </c>
      <c r="E59" s="134" t="s">
        <v>1792</v>
      </c>
      <c r="F59" s="135">
        <v>57888</v>
      </c>
      <c r="G59" s="135">
        <v>55572.480000000003</v>
      </c>
      <c r="H59" s="135">
        <f t="shared" si="0"/>
        <v>2315.5199999999968</v>
      </c>
      <c r="I59" s="136">
        <v>0.187</v>
      </c>
      <c r="J59" s="137">
        <v>3</v>
      </c>
    </row>
    <row r="60" spans="2:10" ht="18" customHeight="1" x14ac:dyDescent="0.3">
      <c r="B60" s="134" t="s">
        <v>1794</v>
      </c>
      <c r="C60" s="134" t="s">
        <v>1785</v>
      </c>
      <c r="D60" s="134" t="s">
        <v>1786</v>
      </c>
      <c r="E60" s="134" t="s">
        <v>1791</v>
      </c>
      <c r="F60" s="135">
        <v>52800</v>
      </c>
      <c r="G60" s="135">
        <v>59664</v>
      </c>
      <c r="H60" s="135">
        <f t="shared" si="0"/>
        <v>-6864</v>
      </c>
      <c r="I60" s="136">
        <v>0.255</v>
      </c>
      <c r="J60" s="137">
        <v>8</v>
      </c>
    </row>
    <row r="61" spans="2:10" ht="18" customHeight="1" x14ac:dyDescent="0.3">
      <c r="B61" s="134" t="s">
        <v>1794</v>
      </c>
      <c r="C61" s="134" t="s">
        <v>1785</v>
      </c>
      <c r="D61" s="134" t="s">
        <v>1786</v>
      </c>
      <c r="E61" s="134" t="s">
        <v>1791</v>
      </c>
      <c r="F61" s="135">
        <v>52140</v>
      </c>
      <c r="G61" s="135">
        <v>41190.6</v>
      </c>
      <c r="H61" s="135">
        <f t="shared" si="0"/>
        <v>10949.400000000001</v>
      </c>
      <c r="I61" s="136">
        <v>0.35599999999999998</v>
      </c>
      <c r="J61" s="137">
        <v>5</v>
      </c>
    </row>
    <row r="62" spans="2:10" ht="18" customHeight="1" x14ac:dyDescent="0.3">
      <c r="B62" s="134" t="s">
        <v>1794</v>
      </c>
      <c r="C62" s="134" t="s">
        <v>1785</v>
      </c>
      <c r="D62" s="134" t="s">
        <v>1786</v>
      </c>
      <c r="E62" s="134" t="s">
        <v>1791</v>
      </c>
      <c r="F62" s="135">
        <v>52140</v>
      </c>
      <c r="G62" s="135">
        <v>41190.6</v>
      </c>
      <c r="H62" s="135">
        <f t="shared" si="0"/>
        <v>10949.400000000001</v>
      </c>
      <c r="I62" s="136">
        <v>0.27600000000000002</v>
      </c>
      <c r="J62" s="137">
        <v>6</v>
      </c>
    </row>
    <row r="63" spans="2:10" ht="18" customHeight="1" x14ac:dyDescent="0.3">
      <c r="B63" s="134" t="s">
        <v>1794</v>
      </c>
      <c r="C63" s="134" t="s">
        <v>1785</v>
      </c>
      <c r="D63" s="134" t="s">
        <v>1786</v>
      </c>
      <c r="E63" s="134" t="s">
        <v>1792</v>
      </c>
      <c r="F63" s="135">
        <v>77184</v>
      </c>
      <c r="G63" s="135">
        <v>68693.759999999995</v>
      </c>
      <c r="H63" s="135">
        <f t="shared" si="0"/>
        <v>8490.2400000000052</v>
      </c>
      <c r="I63" s="136">
        <v>0.255</v>
      </c>
      <c r="J63" s="137">
        <v>5</v>
      </c>
    </row>
    <row r="64" spans="2:10" ht="18" customHeight="1" x14ac:dyDescent="0.3">
      <c r="B64" s="134" t="s">
        <v>1794</v>
      </c>
      <c r="C64" s="134" t="s">
        <v>1785</v>
      </c>
      <c r="D64" s="134" t="s">
        <v>1786</v>
      </c>
      <c r="E64" s="134" t="s">
        <v>1792</v>
      </c>
      <c r="F64" s="135">
        <v>77184</v>
      </c>
      <c r="G64" s="135">
        <v>87217.919999999998</v>
      </c>
      <c r="H64" s="135">
        <f t="shared" si="0"/>
        <v>-10033.919999999998</v>
      </c>
      <c r="I64" s="136">
        <v>0.56399999999999995</v>
      </c>
      <c r="J64" s="137">
        <v>5</v>
      </c>
    </row>
    <row r="65" spans="2:10" ht="18" customHeight="1" x14ac:dyDescent="0.3">
      <c r="B65" s="134" t="s">
        <v>1794</v>
      </c>
      <c r="C65" s="134" t="s">
        <v>1785</v>
      </c>
      <c r="D65" s="134" t="s">
        <v>1786</v>
      </c>
      <c r="E65" s="134" t="s">
        <v>1792</v>
      </c>
      <c r="F65" s="135">
        <v>76219.199999999997</v>
      </c>
      <c r="G65" s="135">
        <v>60213.167999999998</v>
      </c>
      <c r="H65" s="135">
        <f t="shared" si="0"/>
        <v>16006.031999999999</v>
      </c>
      <c r="I65" s="136">
        <v>0.54400000000000004</v>
      </c>
      <c r="J65" s="137">
        <v>1</v>
      </c>
    </row>
    <row r="66" spans="2:10" ht="18" customHeight="1" x14ac:dyDescent="0.3">
      <c r="B66" s="134" t="s">
        <v>1794</v>
      </c>
      <c r="C66" s="134" t="s">
        <v>1785</v>
      </c>
      <c r="D66" s="134" t="s">
        <v>1786</v>
      </c>
      <c r="E66" s="134" t="s">
        <v>1792</v>
      </c>
      <c r="F66" s="135">
        <v>75254.399999999994</v>
      </c>
      <c r="G66" s="135">
        <v>58698.432000000001</v>
      </c>
      <c r="H66" s="135">
        <f t="shared" si="0"/>
        <v>16555.967999999993</v>
      </c>
      <c r="I66" s="136">
        <v>0.255</v>
      </c>
      <c r="J66" s="137">
        <v>9</v>
      </c>
    </row>
    <row r="67" spans="2:10" ht="18" customHeight="1" x14ac:dyDescent="0.3">
      <c r="B67" s="134" t="s">
        <v>1794</v>
      </c>
      <c r="C67" s="134" t="s">
        <v>1783</v>
      </c>
      <c r="D67" s="134" t="s">
        <v>1787</v>
      </c>
      <c r="E67" s="134" t="s">
        <v>1791</v>
      </c>
      <c r="F67" s="135">
        <v>52800</v>
      </c>
      <c r="G67" s="135">
        <v>46992</v>
      </c>
      <c r="H67" s="135">
        <f t="shared" si="0"/>
        <v>5808</v>
      </c>
      <c r="I67" s="136">
        <v>0.187</v>
      </c>
      <c r="J67" s="137">
        <v>9</v>
      </c>
    </row>
    <row r="68" spans="2:10" ht="18" customHeight="1" x14ac:dyDescent="0.3">
      <c r="B68" s="134" t="s">
        <v>1794</v>
      </c>
      <c r="C68" s="134" t="s">
        <v>1783</v>
      </c>
      <c r="D68" s="134" t="s">
        <v>1787</v>
      </c>
      <c r="E68" s="134" t="s">
        <v>1792</v>
      </c>
      <c r="F68" s="135">
        <v>76219.199999999997</v>
      </c>
      <c r="G68" s="135">
        <v>60213.167999999998</v>
      </c>
      <c r="H68" s="135">
        <f t="shared" si="0"/>
        <v>16006.031999999999</v>
      </c>
      <c r="I68" s="136">
        <v>0.26500000000000001</v>
      </c>
      <c r="J68" s="137">
        <v>7</v>
      </c>
    </row>
    <row r="69" spans="2:10" ht="18" customHeight="1" x14ac:dyDescent="0.3">
      <c r="B69" s="134" t="s">
        <v>1794</v>
      </c>
      <c r="C69" s="134" t="s">
        <v>1783</v>
      </c>
      <c r="D69" s="134" t="s">
        <v>1787</v>
      </c>
      <c r="E69" s="134" t="s">
        <v>1792</v>
      </c>
      <c r="F69" s="135">
        <v>75254.399999999994</v>
      </c>
      <c r="G69" s="135">
        <v>58698.432000000001</v>
      </c>
      <c r="H69" s="135">
        <f t="shared" si="0"/>
        <v>16555.967999999993</v>
      </c>
      <c r="I69" s="136">
        <v>0.35599999999999998</v>
      </c>
      <c r="J69" s="137">
        <v>5</v>
      </c>
    </row>
    <row r="70" spans="2:10" ht="18" customHeight="1" x14ac:dyDescent="0.3">
      <c r="B70" s="134" t="s">
        <v>1794</v>
      </c>
      <c r="C70" s="134" t="s">
        <v>1783</v>
      </c>
      <c r="D70" s="134" t="s">
        <v>1787</v>
      </c>
      <c r="E70" s="134" t="s">
        <v>1778</v>
      </c>
      <c r="F70" s="135">
        <v>296700</v>
      </c>
      <c r="G70" s="135">
        <v>216591</v>
      </c>
      <c r="H70" s="135">
        <f t="shared" si="0"/>
        <v>80109</v>
      </c>
      <c r="I70" s="136">
        <v>0.23300000000000001</v>
      </c>
      <c r="J70" s="137">
        <v>1</v>
      </c>
    </row>
    <row r="71" spans="2:10" ht="18" customHeight="1" x14ac:dyDescent="0.3">
      <c r="B71" s="134" t="s">
        <v>1794</v>
      </c>
      <c r="C71" s="134" t="s">
        <v>1785</v>
      </c>
      <c r="D71" s="134" t="s">
        <v>1789</v>
      </c>
      <c r="E71" s="134" t="s">
        <v>1791</v>
      </c>
      <c r="F71" s="135">
        <v>54120</v>
      </c>
      <c r="G71" s="135">
        <v>44378.400000000001</v>
      </c>
      <c r="H71" s="135">
        <f t="shared" si="0"/>
        <v>9741.5999999999985</v>
      </c>
      <c r="I71" s="136">
        <v>0.315</v>
      </c>
      <c r="J71" s="137">
        <v>8</v>
      </c>
    </row>
    <row r="72" spans="2:10" ht="18" customHeight="1" x14ac:dyDescent="0.3">
      <c r="B72" s="134" t="s">
        <v>1794</v>
      </c>
      <c r="C72" s="134" t="s">
        <v>1785</v>
      </c>
      <c r="D72" s="134" t="s">
        <v>1789</v>
      </c>
      <c r="E72" s="134" t="s">
        <v>1791</v>
      </c>
      <c r="F72" s="135">
        <v>54120</v>
      </c>
      <c r="G72" s="135">
        <v>44378.400000000001</v>
      </c>
      <c r="H72" s="135">
        <f>F72-G72</f>
        <v>9741.5999999999985</v>
      </c>
      <c r="I72" s="136">
        <v>0.56399999999999995</v>
      </c>
      <c r="J72" s="137">
        <v>3</v>
      </c>
    </row>
    <row r="73" spans="2:10" ht="18" customHeight="1" x14ac:dyDescent="0.3">
      <c r="B73" s="134" t="s">
        <v>1794</v>
      </c>
      <c r="C73" s="134" t="s">
        <v>1785</v>
      </c>
      <c r="D73" s="134" t="s">
        <v>1789</v>
      </c>
      <c r="E73" s="134" t="s">
        <v>1791</v>
      </c>
      <c r="F73" s="135">
        <v>51480</v>
      </c>
      <c r="G73" s="135">
        <v>40154.400000000001</v>
      </c>
      <c r="H73" s="135">
        <f>F73-G73</f>
        <v>11325.599999999999</v>
      </c>
      <c r="I73" s="136">
        <v>0.255</v>
      </c>
      <c r="J73" s="137">
        <v>2</v>
      </c>
    </row>
    <row r="74" spans="2:10" ht="18" customHeight="1" x14ac:dyDescent="0.3">
      <c r="B74" s="134" t="s">
        <v>1794</v>
      </c>
      <c r="C74" s="134" t="s">
        <v>1785</v>
      </c>
      <c r="D74" s="134" t="s">
        <v>1789</v>
      </c>
      <c r="E74" s="134" t="s">
        <v>1791</v>
      </c>
      <c r="F74" s="135">
        <v>39600</v>
      </c>
      <c r="G74" s="135">
        <v>38016</v>
      </c>
      <c r="H74" s="135">
        <f>F74-G74</f>
        <v>1584</v>
      </c>
      <c r="I74" s="136">
        <v>0.54400000000000004</v>
      </c>
      <c r="J74" s="137">
        <v>8</v>
      </c>
    </row>
    <row r="75" spans="2:10" ht="18" customHeight="1" x14ac:dyDescent="0.3">
      <c r="B75" s="134" t="s">
        <v>1794</v>
      </c>
      <c r="C75" s="134" t="s">
        <v>1785</v>
      </c>
      <c r="D75" s="134" t="s">
        <v>1789</v>
      </c>
      <c r="E75" s="134" t="s">
        <v>1792</v>
      </c>
      <c r="F75" s="135">
        <v>79113.600000000006</v>
      </c>
      <c r="G75" s="135">
        <v>64873.152000000002</v>
      </c>
      <c r="H75" s="135">
        <f>F75-G75</f>
        <v>14240.448000000004</v>
      </c>
      <c r="I75" s="136">
        <v>0.255</v>
      </c>
      <c r="J75" s="137">
        <v>9</v>
      </c>
    </row>
    <row r="76" spans="2:10" s="315" customFormat="1" ht="18" customHeight="1" x14ac:dyDescent="0.3">
      <c r="B76" s="200"/>
      <c r="C76" s="200"/>
      <c r="D76" s="200"/>
      <c r="E76" s="200"/>
      <c r="F76" s="312"/>
      <c r="G76" s="312"/>
      <c r="H76" s="312"/>
      <c r="I76" s="313"/>
      <c r="J76" s="314"/>
    </row>
    <row r="77" spans="2:10" ht="14.4" x14ac:dyDescent="0.3">
      <c r="B77" s="3"/>
    </row>
    <row r="78" spans="2:10" ht="14.4" x14ac:dyDescent="0.3">
      <c r="B78" s="3"/>
    </row>
    <row r="79" spans="2:10" ht="14.4" x14ac:dyDescent="0.3">
      <c r="B79" s="3"/>
    </row>
    <row r="80" spans="2:10" ht="14.4" x14ac:dyDescent="0.3">
      <c r="B80" s="3"/>
    </row>
    <row r="81" spans="2:2" ht="14.4" x14ac:dyDescent="0.3">
      <c r="B81" s="3"/>
    </row>
    <row r="82" spans="2:2" ht="14.4" x14ac:dyDescent="0.3">
      <c r="B82" s="3"/>
    </row>
    <row r="83" spans="2:2" ht="14.4" x14ac:dyDescent="0.3">
      <c r="B83" s="3"/>
    </row>
    <row r="84" spans="2:2" ht="14.4" x14ac:dyDescent="0.3">
      <c r="B84" s="3"/>
    </row>
    <row r="85" spans="2:2" ht="14.4" x14ac:dyDescent="0.3">
      <c r="B85" s="3"/>
    </row>
    <row r="86" spans="2:2" ht="14.4" x14ac:dyDescent="0.3">
      <c r="B86" s="3"/>
    </row>
    <row r="87" spans="2:2" ht="14.4" x14ac:dyDescent="0.3">
      <c r="B87" s="3"/>
    </row>
    <row r="88" spans="2:2" ht="14.4" x14ac:dyDescent="0.3">
      <c r="B88" s="3"/>
    </row>
    <row r="89" spans="2:2" ht="14.4" x14ac:dyDescent="0.3">
      <c r="B89" s="3"/>
    </row>
    <row r="90" spans="2:2" ht="14.4" x14ac:dyDescent="0.3">
      <c r="B90" s="3"/>
    </row>
    <row r="91" spans="2:2" ht="14.4" x14ac:dyDescent="0.3">
      <c r="B91" s="3"/>
    </row>
    <row r="92" spans="2:2" ht="14.4" x14ac:dyDescent="0.3">
      <c r="B92" s="3"/>
    </row>
    <row r="93" spans="2:2" ht="14.4" x14ac:dyDescent="0.3">
      <c r="B93" s="3"/>
    </row>
    <row r="94" spans="2:2" ht="14.4" x14ac:dyDescent="0.3">
      <c r="B94" s="3"/>
    </row>
    <row r="95" spans="2:2" ht="14.4" x14ac:dyDescent="0.3">
      <c r="B95" s="3"/>
    </row>
    <row r="96" spans="2:2" ht="14.4" x14ac:dyDescent="0.3">
      <c r="B96" s="3"/>
    </row>
    <row r="97" spans="2:2" ht="14.4" x14ac:dyDescent="0.3">
      <c r="B97" s="3"/>
    </row>
    <row r="98" spans="2:2" ht="14.4" x14ac:dyDescent="0.3">
      <c r="B98" s="3"/>
    </row>
    <row r="99" spans="2:2" ht="14.4" x14ac:dyDescent="0.3">
      <c r="B99" s="3"/>
    </row>
    <row r="100" spans="2:2" ht="14.4" x14ac:dyDescent="0.3">
      <c r="B100" s="3"/>
    </row>
    <row r="101" spans="2:2" ht="14.4" x14ac:dyDescent="0.3">
      <c r="B101" s="3"/>
    </row>
    <row r="102" spans="2:2" ht="14.4" x14ac:dyDescent="0.3">
      <c r="B102" s="3"/>
    </row>
    <row r="103" spans="2:2" ht="14.4" x14ac:dyDescent="0.3">
      <c r="B103" s="3"/>
    </row>
    <row r="104" spans="2:2" ht="14.4" x14ac:dyDescent="0.3">
      <c r="B104" s="3"/>
    </row>
    <row r="105" spans="2:2" ht="14.4" x14ac:dyDescent="0.3">
      <c r="B105" s="3"/>
    </row>
    <row r="106" spans="2:2" ht="14.4" x14ac:dyDescent="0.3">
      <c r="B106" s="3"/>
    </row>
    <row r="107" spans="2:2" ht="14.4" x14ac:dyDescent="0.3">
      <c r="B107" s="3"/>
    </row>
    <row r="108" spans="2:2" ht="14.4" x14ac:dyDescent="0.3">
      <c r="B108" s="3"/>
    </row>
    <row r="109" spans="2:2" ht="14.4" x14ac:dyDescent="0.3">
      <c r="B109" s="3"/>
    </row>
    <row r="110" spans="2:2" ht="14.4" x14ac:dyDescent="0.3">
      <c r="B110" s="3"/>
    </row>
    <row r="111" spans="2:2" ht="14.4" x14ac:dyDescent="0.3">
      <c r="B111" s="3"/>
    </row>
    <row r="112" spans="2:2" ht="14.4" x14ac:dyDescent="0.3">
      <c r="B112" s="3"/>
    </row>
    <row r="113" spans="2:2" ht="14.4" x14ac:dyDescent="0.3">
      <c r="B113" s="3"/>
    </row>
    <row r="114" spans="2:2" ht="14.4" x14ac:dyDescent="0.3">
      <c r="B114" s="3"/>
    </row>
    <row r="115" spans="2:2" ht="14.4" x14ac:dyDescent="0.3">
      <c r="B115" s="3"/>
    </row>
    <row r="116" spans="2:2" ht="14.4" x14ac:dyDescent="0.3">
      <c r="B116" s="3"/>
    </row>
    <row r="117" spans="2:2" ht="14.4" x14ac:dyDescent="0.3">
      <c r="B117" s="3"/>
    </row>
    <row r="118" spans="2:2" ht="14.4" x14ac:dyDescent="0.3">
      <c r="B118" s="3"/>
    </row>
    <row r="119" spans="2:2" ht="14.4" x14ac:dyDescent="0.3">
      <c r="B119" s="3"/>
    </row>
    <row r="120" spans="2:2" ht="14.4" x14ac:dyDescent="0.3">
      <c r="B120" s="3"/>
    </row>
    <row r="121" spans="2:2" ht="14.4" x14ac:dyDescent="0.3">
      <c r="B121" s="3"/>
    </row>
    <row r="122" spans="2:2" ht="14.4" x14ac:dyDescent="0.3">
      <c r="B122" s="3"/>
    </row>
    <row r="123" spans="2:2" ht="14.4" x14ac:dyDescent="0.3">
      <c r="B123" s="3"/>
    </row>
    <row r="124" spans="2:2" ht="14.4" x14ac:dyDescent="0.3">
      <c r="B124" s="3"/>
    </row>
    <row r="125" spans="2:2" ht="14.4" x14ac:dyDescent="0.3">
      <c r="B125" s="3"/>
    </row>
    <row r="126" spans="2:2" ht="14.4" x14ac:dyDescent="0.3">
      <c r="B126" s="3"/>
    </row>
    <row r="127" spans="2:2" ht="14.4" x14ac:dyDescent="0.3">
      <c r="B127" s="3"/>
    </row>
    <row r="128" spans="2:2" ht="14.4" x14ac:dyDescent="0.3">
      <c r="B128" s="3"/>
    </row>
    <row r="129" spans="2:2" ht="14.4" x14ac:dyDescent="0.3">
      <c r="B129" s="3"/>
    </row>
    <row r="130" spans="2:2" ht="14.4" x14ac:dyDescent="0.3">
      <c r="B130" s="3"/>
    </row>
    <row r="131" spans="2:2" ht="14.4" x14ac:dyDescent="0.3">
      <c r="B131" s="3"/>
    </row>
    <row r="132" spans="2:2" ht="14.4" x14ac:dyDescent="0.3">
      <c r="B132" s="3"/>
    </row>
    <row r="133" spans="2:2" ht="14.4" x14ac:dyDescent="0.3">
      <c r="B133" s="3"/>
    </row>
    <row r="134" spans="2:2" ht="14.4" x14ac:dyDescent="0.3">
      <c r="B134" s="3"/>
    </row>
    <row r="135" spans="2:2" ht="14.4" x14ac:dyDescent="0.3">
      <c r="B135" s="3"/>
    </row>
    <row r="136" spans="2:2" ht="14.4" x14ac:dyDescent="0.3">
      <c r="B136" s="3"/>
    </row>
    <row r="137" spans="2:2" ht="14.4" x14ac:dyDescent="0.3">
      <c r="B137" s="3"/>
    </row>
    <row r="138" spans="2:2" ht="14.4" x14ac:dyDescent="0.3">
      <c r="B138" s="3"/>
    </row>
    <row r="139" spans="2:2" ht="14.4" x14ac:dyDescent="0.3">
      <c r="B139" s="3"/>
    </row>
    <row r="140" spans="2:2" ht="14.4" x14ac:dyDescent="0.3">
      <c r="B140" s="3"/>
    </row>
    <row r="141" spans="2:2" ht="14.4" x14ac:dyDescent="0.3">
      <c r="B141" s="3"/>
    </row>
    <row r="142" spans="2:2" ht="14.4" x14ac:dyDescent="0.3">
      <c r="B142" s="3"/>
    </row>
    <row r="143" spans="2:2" ht="14.4" x14ac:dyDescent="0.3">
      <c r="B143" s="3"/>
    </row>
    <row r="144" spans="2:2" ht="14.4" x14ac:dyDescent="0.3">
      <c r="B144" s="3"/>
    </row>
    <row r="145" spans="2:2" ht="14.4" x14ac:dyDescent="0.3">
      <c r="B145" s="3"/>
    </row>
    <row r="146" spans="2:2" ht="14.4" x14ac:dyDescent="0.3">
      <c r="B146" s="3"/>
    </row>
    <row r="147" spans="2:2" ht="14.4" x14ac:dyDescent="0.3">
      <c r="B147" s="3"/>
    </row>
    <row r="148" spans="2:2" ht="14.4" x14ac:dyDescent="0.3">
      <c r="B148" s="3"/>
    </row>
    <row r="149" spans="2:2" ht="14.4" x14ac:dyDescent="0.3">
      <c r="B149" s="3"/>
    </row>
    <row r="150" spans="2:2" ht="14.4" x14ac:dyDescent="0.3">
      <c r="B150" s="3"/>
    </row>
    <row r="151" spans="2:2" ht="14.4" x14ac:dyDescent="0.3">
      <c r="B151" s="3"/>
    </row>
    <row r="152" spans="2:2" ht="14.4" x14ac:dyDescent="0.3">
      <c r="B152" s="3"/>
    </row>
    <row r="153" spans="2:2" ht="14.4" x14ac:dyDescent="0.3">
      <c r="B153" s="3"/>
    </row>
    <row r="154" spans="2:2" ht="14.4" x14ac:dyDescent="0.3">
      <c r="B154" s="3"/>
    </row>
    <row r="155" spans="2:2" ht="14.4" x14ac:dyDescent="0.3">
      <c r="B155" s="3"/>
    </row>
    <row r="156" spans="2:2" ht="14.4" x14ac:dyDescent="0.3">
      <c r="B156" s="3"/>
    </row>
    <row r="157" spans="2:2" ht="14.4" x14ac:dyDescent="0.3">
      <c r="B157" s="3"/>
    </row>
    <row r="158" spans="2:2" ht="14.4" x14ac:dyDescent="0.3">
      <c r="B158" s="3"/>
    </row>
    <row r="159" spans="2:2" ht="14.4" x14ac:dyDescent="0.3">
      <c r="B159" s="3"/>
    </row>
    <row r="160" spans="2:2" ht="14.4" x14ac:dyDescent="0.3">
      <c r="B160" s="3"/>
    </row>
    <row r="161" spans="2:2" ht="14.4" x14ac:dyDescent="0.3">
      <c r="B161" s="3"/>
    </row>
    <row r="162" spans="2:2" ht="14.4" x14ac:dyDescent="0.3">
      <c r="B162" s="3"/>
    </row>
    <row r="163" spans="2:2" ht="14.4" x14ac:dyDescent="0.3">
      <c r="B163" s="3"/>
    </row>
    <row r="164" spans="2:2" ht="14.4" x14ac:dyDescent="0.3">
      <c r="B164" s="3"/>
    </row>
    <row r="165" spans="2:2" ht="14.4" x14ac:dyDescent="0.3">
      <c r="B165" s="3"/>
    </row>
    <row r="166" spans="2:2" ht="14.4" x14ac:dyDescent="0.3">
      <c r="B166" s="3"/>
    </row>
    <row r="167" spans="2:2" ht="14.4" x14ac:dyDescent="0.3">
      <c r="B167" s="3"/>
    </row>
    <row r="168" spans="2:2" ht="14.4" x14ac:dyDescent="0.3">
      <c r="B168" s="3"/>
    </row>
    <row r="169" spans="2:2" ht="14.4" x14ac:dyDescent="0.3">
      <c r="B169" s="3"/>
    </row>
    <row r="170" spans="2:2" ht="14.4" x14ac:dyDescent="0.3">
      <c r="B170" s="3"/>
    </row>
    <row r="171" spans="2:2" ht="14.4" x14ac:dyDescent="0.3">
      <c r="B171" s="3"/>
    </row>
    <row r="172" spans="2:2" ht="14.4" x14ac:dyDescent="0.3">
      <c r="B172" s="3"/>
    </row>
    <row r="173" spans="2:2" ht="14.4" x14ac:dyDescent="0.3">
      <c r="B173" s="3"/>
    </row>
    <row r="174" spans="2:2" ht="14.4" x14ac:dyDescent="0.3">
      <c r="B174" s="3"/>
    </row>
    <row r="175" spans="2:2" ht="14.4" x14ac:dyDescent="0.3">
      <c r="B175" s="3"/>
    </row>
    <row r="176" spans="2:2" ht="14.4" x14ac:dyDescent="0.3">
      <c r="B176" s="3"/>
    </row>
    <row r="177" spans="2:2" ht="14.4" x14ac:dyDescent="0.3">
      <c r="B177" s="3"/>
    </row>
    <row r="178" spans="2:2" ht="14.4" x14ac:dyDescent="0.3">
      <c r="B178" s="3"/>
    </row>
    <row r="179" spans="2:2" ht="14.4" x14ac:dyDescent="0.3">
      <c r="B179" s="3"/>
    </row>
    <row r="180" spans="2:2" ht="14.4" x14ac:dyDescent="0.3">
      <c r="B180" s="3"/>
    </row>
    <row r="181" spans="2:2" ht="14.4" x14ac:dyDescent="0.3">
      <c r="B181" s="3"/>
    </row>
    <row r="182" spans="2:2" ht="14.4" x14ac:dyDescent="0.3">
      <c r="B182" s="3"/>
    </row>
    <row r="183" spans="2:2" ht="14.4" x14ac:dyDescent="0.3">
      <c r="B183" s="3"/>
    </row>
    <row r="184" spans="2:2" ht="14.4" x14ac:dyDescent="0.3">
      <c r="B184" s="3"/>
    </row>
    <row r="185" spans="2:2" ht="14.4" x14ac:dyDescent="0.3">
      <c r="B185" s="3"/>
    </row>
    <row r="186" spans="2:2" ht="14.4" x14ac:dyDescent="0.3">
      <c r="B186" s="3"/>
    </row>
    <row r="187" spans="2:2" ht="14.4" x14ac:dyDescent="0.3">
      <c r="B187" s="3"/>
    </row>
    <row r="188" spans="2:2" ht="14.4" x14ac:dyDescent="0.3">
      <c r="B188" s="3"/>
    </row>
    <row r="189" spans="2:2" ht="14.4" x14ac:dyDescent="0.3">
      <c r="B189" s="3"/>
    </row>
    <row r="190" spans="2:2" ht="14.4" x14ac:dyDescent="0.3">
      <c r="B190" s="3"/>
    </row>
    <row r="191" spans="2:2" ht="14.4" x14ac:dyDescent="0.3">
      <c r="B191" s="3"/>
    </row>
    <row r="192" spans="2:2" ht="14.4" x14ac:dyDescent="0.3">
      <c r="B192" s="3"/>
    </row>
    <row r="193" spans="2:2" ht="14.4" x14ac:dyDescent="0.3">
      <c r="B193" s="3"/>
    </row>
    <row r="194" spans="2:2" ht="14.4" x14ac:dyDescent="0.3">
      <c r="B194" s="3"/>
    </row>
    <row r="195" spans="2:2" ht="14.4" x14ac:dyDescent="0.3">
      <c r="B195" s="3"/>
    </row>
    <row r="196" spans="2:2" ht="14.4" x14ac:dyDescent="0.3">
      <c r="B196" s="3"/>
    </row>
    <row r="197" spans="2:2" ht="14.4" x14ac:dyDescent="0.3">
      <c r="B197" s="3"/>
    </row>
    <row r="198" spans="2:2" ht="14.4" x14ac:dyDescent="0.3">
      <c r="B198" s="3"/>
    </row>
    <row r="199" spans="2:2" ht="14.4" x14ac:dyDescent="0.3">
      <c r="B199" s="3"/>
    </row>
    <row r="200" spans="2:2" ht="14.4" x14ac:dyDescent="0.3">
      <c r="B200" s="3"/>
    </row>
    <row r="201" spans="2:2" ht="14.4" x14ac:dyDescent="0.3">
      <c r="B201" s="3"/>
    </row>
    <row r="202" spans="2:2" ht="14.4" x14ac:dyDescent="0.3">
      <c r="B202" s="3"/>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
  <sheetViews>
    <sheetView showGridLines="0" workbookViewId="0">
      <selection activeCell="F3" sqref="F3"/>
    </sheetView>
  </sheetViews>
  <sheetFormatPr defaultColWidth="9.109375" defaultRowHeight="24.6" x14ac:dyDescent="0.4"/>
  <cols>
    <col min="1" max="1" width="3.44140625" style="3" customWidth="1"/>
    <col min="2" max="2" width="10.6640625" style="114" bestFit="1" customWidth="1"/>
    <col min="3" max="3" width="9.44140625" style="3" bestFit="1" customWidth="1"/>
    <col min="4" max="4" width="11.6640625" style="3" bestFit="1" customWidth="1"/>
    <col min="5" max="5" width="12.109375" style="3" bestFit="1" customWidth="1"/>
    <col min="6" max="7" width="13.88671875" style="3" bestFit="1" customWidth="1"/>
    <col min="8" max="8" width="12.109375" style="3" bestFit="1" customWidth="1"/>
    <col min="9" max="9" width="10.88671875" style="3" bestFit="1" customWidth="1"/>
    <col min="10" max="10" width="8.109375" style="3" bestFit="1" customWidth="1"/>
    <col min="11" max="26" width="10.33203125" style="3" customWidth="1"/>
    <col min="27" max="29" width="10" style="3" customWidth="1"/>
    <col min="30" max="16384" width="9.109375" style="3"/>
  </cols>
  <sheetData>
    <row r="1" spans="1:14" ht="25.8" x14ac:dyDescent="0.5">
      <c r="A1" s="310" t="s">
        <v>1803</v>
      </c>
      <c r="I1" s="114"/>
      <c r="N1" s="633" t="s">
        <v>3016</v>
      </c>
    </row>
    <row r="2" spans="1:14" ht="25.8" x14ac:dyDescent="0.5">
      <c r="A2" s="286"/>
      <c r="I2" s="114"/>
    </row>
    <row r="3" spans="1:14" ht="18" customHeight="1" x14ac:dyDescent="0.5">
      <c r="A3" s="286"/>
      <c r="C3" s="149" t="s">
        <v>1799</v>
      </c>
      <c r="D3" s="288"/>
      <c r="E3" s="288"/>
      <c r="F3" s="289">
        <f>MEDIAN(F10:F78)</f>
        <v>91463.039999999994</v>
      </c>
      <c r="G3" s="289">
        <f t="shared" ref="G3:J3" si="0">MEDIAN(G10:G78)</f>
        <v>77847.782399999996</v>
      </c>
      <c r="H3" s="289">
        <f t="shared" si="0"/>
        <v>10799.308799999999</v>
      </c>
      <c r="I3" s="290">
        <f t="shared" si="0"/>
        <v>0.26500000000000001</v>
      </c>
      <c r="J3" s="289">
        <f t="shared" si="0"/>
        <v>5</v>
      </c>
    </row>
    <row r="4" spans="1:14" ht="18" customHeight="1" x14ac:dyDescent="0.5">
      <c r="A4" s="115"/>
      <c r="C4" s="176" t="s">
        <v>1796</v>
      </c>
      <c r="F4" s="295">
        <f>MAX(F9:F78)</f>
        <v>1447185.6</v>
      </c>
      <c r="G4" s="295">
        <f t="shared" ref="G4:J4" si="1">MAX(G9:G78)</f>
        <v>1443556</v>
      </c>
      <c r="H4" s="295">
        <f t="shared" si="1"/>
        <v>548108</v>
      </c>
      <c r="I4" s="296">
        <f t="shared" si="1"/>
        <v>0.754</v>
      </c>
      <c r="J4" s="295">
        <f t="shared" si="1"/>
        <v>13</v>
      </c>
    </row>
    <row r="5" spans="1:14" ht="18" customHeight="1" x14ac:dyDescent="0.45">
      <c r="A5" s="19"/>
      <c r="B5" s="118"/>
      <c r="C5" s="297" t="s">
        <v>1798</v>
      </c>
      <c r="D5" s="292"/>
      <c r="E5" s="292"/>
      <c r="F5" s="293">
        <f>MIN(F11:F78)</f>
        <v>39600</v>
      </c>
      <c r="G5" s="293">
        <f t="shared" ref="G5:J5" si="2">MIN(G11:G78)</f>
        <v>38016</v>
      </c>
      <c r="H5" s="293">
        <f t="shared" si="2"/>
        <v>-924076</v>
      </c>
      <c r="I5" s="294">
        <f t="shared" si="2"/>
        <v>0.13400000000000001</v>
      </c>
      <c r="J5" s="293">
        <f t="shared" si="2"/>
        <v>0</v>
      </c>
    </row>
    <row r="7" spans="1:14" ht="17.399999999999999" x14ac:dyDescent="0.3">
      <c r="B7" s="119" t="s">
        <v>1770</v>
      </c>
      <c r="C7" s="120"/>
      <c r="D7" s="120"/>
      <c r="E7" s="120"/>
      <c r="F7" s="121"/>
      <c r="G7" s="121"/>
      <c r="H7" s="121"/>
      <c r="I7" s="120"/>
      <c r="J7" s="122"/>
    </row>
    <row r="8" spans="1:14" ht="17.399999999999999" x14ac:dyDescent="0.3">
      <c r="B8" s="274" t="s">
        <v>3012</v>
      </c>
      <c r="C8" s="124"/>
      <c r="D8" s="124"/>
      <c r="E8" s="124"/>
      <c r="F8" s="125"/>
      <c r="G8" s="125"/>
      <c r="H8" s="125"/>
      <c r="I8" s="124"/>
      <c r="J8" s="126"/>
    </row>
    <row r="9" spans="1:14" ht="17.399999999999999" hidden="1" x14ac:dyDescent="0.3">
      <c r="B9" s="127"/>
      <c r="C9" s="128"/>
      <c r="D9" s="128"/>
      <c r="E9" s="128"/>
      <c r="F9" s="129"/>
      <c r="G9" s="129"/>
      <c r="H9" s="129"/>
      <c r="I9" s="128"/>
    </row>
    <row r="10" spans="1:14" s="142" customFormat="1" ht="39" customHeight="1" thickBot="1" x14ac:dyDescent="0.35">
      <c r="B10" s="298" t="s">
        <v>1768</v>
      </c>
      <c r="C10" s="298" t="s">
        <v>176</v>
      </c>
      <c r="D10" s="298" t="s">
        <v>175</v>
      </c>
      <c r="E10" s="298" t="s">
        <v>264</v>
      </c>
      <c r="F10" s="299" t="s">
        <v>1771</v>
      </c>
      <c r="G10" s="299" t="s">
        <v>1772</v>
      </c>
      <c r="H10" s="300" t="s">
        <v>1773</v>
      </c>
      <c r="I10" s="301" t="s">
        <v>1774</v>
      </c>
      <c r="J10" s="301" t="s">
        <v>1775</v>
      </c>
    </row>
    <row r="11" spans="1:14" s="142" customFormat="1" ht="18" customHeight="1" x14ac:dyDescent="0.3">
      <c r="B11" s="164" t="s">
        <v>1769</v>
      </c>
      <c r="C11" s="164" t="s">
        <v>1776</v>
      </c>
      <c r="D11" s="164" t="s">
        <v>1777</v>
      </c>
      <c r="E11" s="164" t="s">
        <v>1779</v>
      </c>
      <c r="F11" s="302">
        <v>154275.84</v>
      </c>
      <c r="G11" s="302">
        <v>143476.5312</v>
      </c>
      <c r="H11" s="302">
        <f t="shared" ref="H11:H42" si="3">F11-G11</f>
        <v>10799.308799999999</v>
      </c>
      <c r="I11" s="303">
        <v>0.64300000000000002</v>
      </c>
      <c r="J11" s="304">
        <v>9</v>
      </c>
    </row>
    <row r="12" spans="1:14" s="142" customFormat="1" ht="18" customHeight="1" x14ac:dyDescent="0.3">
      <c r="B12" s="164" t="s">
        <v>1769</v>
      </c>
      <c r="C12" s="164" t="s">
        <v>1776</v>
      </c>
      <c r="D12" s="164" t="s">
        <v>1781</v>
      </c>
      <c r="E12" s="164" t="s">
        <v>1779</v>
      </c>
      <c r="F12" s="302">
        <v>57024</v>
      </c>
      <c r="G12" s="302">
        <v>54743.040000000001</v>
      </c>
      <c r="H12" s="302">
        <f t="shared" si="3"/>
        <v>2280.9599999999991</v>
      </c>
      <c r="I12" s="303">
        <v>0.59199999999999997</v>
      </c>
      <c r="J12" s="304">
        <v>8</v>
      </c>
    </row>
    <row r="13" spans="1:14" s="142" customFormat="1" ht="18" customHeight="1" x14ac:dyDescent="0.3">
      <c r="B13" s="164" t="s">
        <v>1769</v>
      </c>
      <c r="C13" s="164" t="s">
        <v>1776</v>
      </c>
      <c r="D13" s="164" t="s">
        <v>1781</v>
      </c>
      <c r="E13" s="164" t="s">
        <v>1779</v>
      </c>
      <c r="F13" s="302">
        <v>69465.600000000006</v>
      </c>
      <c r="G13" s="302">
        <v>66686.975999999995</v>
      </c>
      <c r="H13" s="302">
        <f t="shared" si="3"/>
        <v>2778.6240000000107</v>
      </c>
      <c r="I13" s="303">
        <v>0.41199999999999998</v>
      </c>
      <c r="J13" s="304">
        <v>9</v>
      </c>
    </row>
    <row r="14" spans="1:14" s="142" customFormat="1" ht="18" customHeight="1" x14ac:dyDescent="0.3">
      <c r="B14" s="164" t="s">
        <v>1769</v>
      </c>
      <c r="C14" s="164" t="s">
        <v>1776</v>
      </c>
      <c r="D14" s="164" t="s">
        <v>1777</v>
      </c>
      <c r="E14" s="164" t="s">
        <v>1779</v>
      </c>
      <c r="F14" s="302">
        <v>91463.039999999994</v>
      </c>
      <c r="G14" s="302">
        <v>72255.801599999992</v>
      </c>
      <c r="H14" s="302">
        <f t="shared" si="3"/>
        <v>19207.238400000002</v>
      </c>
      <c r="I14" s="303">
        <v>0.35599999999999998</v>
      </c>
      <c r="J14" s="304">
        <v>8</v>
      </c>
    </row>
    <row r="15" spans="1:14" s="142" customFormat="1" ht="18" customHeight="1" x14ac:dyDescent="0.3">
      <c r="B15" s="164" t="s">
        <v>1769</v>
      </c>
      <c r="C15" s="164" t="s">
        <v>1776</v>
      </c>
      <c r="D15" s="164" t="s">
        <v>1780</v>
      </c>
      <c r="E15" s="164" t="s">
        <v>1779</v>
      </c>
      <c r="F15" s="302">
        <v>94936.320000000007</v>
      </c>
      <c r="G15" s="302">
        <v>77847.782399999996</v>
      </c>
      <c r="H15" s="302">
        <f t="shared" si="3"/>
        <v>17088.537600000011</v>
      </c>
      <c r="I15" s="303">
        <v>0.52900000000000003</v>
      </c>
      <c r="J15" s="304">
        <v>9</v>
      </c>
    </row>
    <row r="16" spans="1:14" s="142" customFormat="1" ht="18" customHeight="1" x14ac:dyDescent="0.3">
      <c r="B16" s="164" t="s">
        <v>1769</v>
      </c>
      <c r="C16" s="164" t="s">
        <v>1776</v>
      </c>
      <c r="D16" s="164" t="s">
        <v>1777</v>
      </c>
      <c r="E16" s="164" t="s">
        <v>1778</v>
      </c>
      <c r="F16" s="302">
        <v>356040</v>
      </c>
      <c r="G16" s="302">
        <v>259909.2</v>
      </c>
      <c r="H16" s="302">
        <f t="shared" si="3"/>
        <v>96130.799999999988</v>
      </c>
      <c r="I16" s="303">
        <v>0.255</v>
      </c>
      <c r="J16" s="304">
        <v>2</v>
      </c>
    </row>
    <row r="17" spans="2:10" s="142" customFormat="1" ht="18" customHeight="1" x14ac:dyDescent="0.3">
      <c r="B17" s="164" t="s">
        <v>1769</v>
      </c>
      <c r="C17" s="164" t="s">
        <v>1776</v>
      </c>
      <c r="D17" s="164" t="s">
        <v>1777</v>
      </c>
      <c r="E17" s="164" t="s">
        <v>1778</v>
      </c>
      <c r="F17" s="302">
        <v>113923.584</v>
      </c>
      <c r="G17" s="302">
        <v>93417.338879999996</v>
      </c>
      <c r="H17" s="302">
        <f t="shared" si="3"/>
        <v>20506.245120000007</v>
      </c>
      <c r="I17" s="303">
        <v>0.255</v>
      </c>
      <c r="J17" s="304">
        <v>6</v>
      </c>
    </row>
    <row r="18" spans="2:10" s="142" customFormat="1" ht="18" customHeight="1" x14ac:dyDescent="0.3">
      <c r="B18" s="164" t="s">
        <v>1769</v>
      </c>
      <c r="C18" s="164" t="s">
        <v>1776</v>
      </c>
      <c r="D18" s="164" t="s">
        <v>1780</v>
      </c>
      <c r="E18" s="164" t="s">
        <v>1778</v>
      </c>
      <c r="F18" s="302">
        <v>90305.279999999999</v>
      </c>
      <c r="G18" s="302">
        <v>70438.118399999992</v>
      </c>
      <c r="H18" s="302">
        <f t="shared" si="3"/>
        <v>19867.161600000007</v>
      </c>
      <c r="I18" s="303">
        <v>0.255</v>
      </c>
      <c r="J18" s="304">
        <v>3</v>
      </c>
    </row>
    <row r="19" spans="2:10" s="142" customFormat="1" ht="18" customHeight="1" x14ac:dyDescent="0.3">
      <c r="B19" s="164" t="s">
        <v>1769</v>
      </c>
      <c r="C19" s="164" t="s">
        <v>1776</v>
      </c>
      <c r="D19" s="164" t="s">
        <v>1777</v>
      </c>
      <c r="E19" s="164" t="s">
        <v>1778</v>
      </c>
      <c r="F19" s="302">
        <v>47520</v>
      </c>
      <c r="G19" s="302">
        <v>45619.199999999997</v>
      </c>
      <c r="H19" s="302">
        <f t="shared" si="3"/>
        <v>1900.8000000000029</v>
      </c>
      <c r="I19" s="303">
        <v>0.247</v>
      </c>
      <c r="J19" s="304">
        <v>6</v>
      </c>
    </row>
    <row r="20" spans="2:10" s="142" customFormat="1" ht="18" customHeight="1" x14ac:dyDescent="0.3">
      <c r="B20" s="164" t="s">
        <v>1769</v>
      </c>
      <c r="C20" s="164" t="s">
        <v>1776</v>
      </c>
      <c r="D20" s="164" t="s">
        <v>1781</v>
      </c>
      <c r="E20" s="164" t="s">
        <v>1778</v>
      </c>
      <c r="F20" s="302">
        <v>261004.79999999999</v>
      </c>
      <c r="G20" s="302">
        <v>221854.07999999999</v>
      </c>
      <c r="H20" s="302">
        <f t="shared" si="3"/>
        <v>39150.720000000001</v>
      </c>
      <c r="I20" s="303">
        <v>0.23300000000000001</v>
      </c>
      <c r="J20" s="304">
        <v>6</v>
      </c>
    </row>
    <row r="21" spans="2:10" s="142" customFormat="1" ht="18" customHeight="1" x14ac:dyDescent="0.3">
      <c r="B21" s="164" t="s">
        <v>1769</v>
      </c>
      <c r="C21" s="164" t="s">
        <v>1776</v>
      </c>
      <c r="D21" s="164" t="s">
        <v>1781</v>
      </c>
      <c r="E21" s="164" t="s">
        <v>1778</v>
      </c>
      <c r="F21" s="302">
        <v>92620.800000000003</v>
      </c>
      <c r="G21" s="302">
        <v>82432.511999999988</v>
      </c>
      <c r="H21" s="302">
        <f t="shared" si="3"/>
        <v>10188.288000000015</v>
      </c>
      <c r="I21" s="303">
        <v>0.187</v>
      </c>
      <c r="J21" s="304">
        <v>3</v>
      </c>
    </row>
    <row r="22" spans="2:10" s="142" customFormat="1" ht="18" customHeight="1" x14ac:dyDescent="0.3">
      <c r="B22" s="164" t="s">
        <v>1769</v>
      </c>
      <c r="C22" s="164" t="s">
        <v>1776</v>
      </c>
      <c r="D22" s="164" t="s">
        <v>1780</v>
      </c>
      <c r="E22" s="164" t="s">
        <v>1779</v>
      </c>
      <c r="F22" s="302">
        <v>394275.84000000003</v>
      </c>
      <c r="G22" s="302">
        <v>366676.53120000003</v>
      </c>
      <c r="H22" s="302">
        <f t="shared" si="3"/>
        <v>27599.308799999999</v>
      </c>
      <c r="I22" s="303">
        <v>0.154</v>
      </c>
      <c r="J22" s="304">
        <v>0</v>
      </c>
    </row>
    <row r="23" spans="2:10" s="142" customFormat="1" ht="18" customHeight="1" x14ac:dyDescent="0.3">
      <c r="B23" s="164" t="s">
        <v>1769</v>
      </c>
      <c r="C23" s="164" t="s">
        <v>1776</v>
      </c>
      <c r="D23" s="164" t="s">
        <v>1780</v>
      </c>
      <c r="E23" s="164" t="s">
        <v>1778</v>
      </c>
      <c r="F23" s="302">
        <v>116121.60000000001</v>
      </c>
      <c r="G23" s="302">
        <v>84768.767999999996</v>
      </c>
      <c r="H23" s="302">
        <f t="shared" si="3"/>
        <v>31352.832000000009</v>
      </c>
      <c r="I23" s="303">
        <v>0.13400000000000001</v>
      </c>
      <c r="J23" s="304">
        <v>3</v>
      </c>
    </row>
    <row r="24" spans="2:10" s="142" customFormat="1" ht="18" customHeight="1" x14ac:dyDescent="0.3">
      <c r="B24" s="164" t="s">
        <v>1782</v>
      </c>
      <c r="C24" s="164" t="s">
        <v>1785</v>
      </c>
      <c r="D24" s="164" t="s">
        <v>1789</v>
      </c>
      <c r="E24" s="164" t="s">
        <v>1779</v>
      </c>
      <c r="F24" s="302">
        <v>91224</v>
      </c>
      <c r="G24" s="302">
        <v>66593.52</v>
      </c>
      <c r="H24" s="302">
        <f t="shared" si="3"/>
        <v>24630.479999999996</v>
      </c>
      <c r="I24" s="303">
        <v>0.65</v>
      </c>
      <c r="J24" s="304">
        <v>6</v>
      </c>
    </row>
    <row r="25" spans="2:10" s="142" customFormat="1" ht="18" customHeight="1" x14ac:dyDescent="0.3">
      <c r="B25" s="164" t="s">
        <v>1782</v>
      </c>
      <c r="C25" s="164" t="s">
        <v>1783</v>
      </c>
      <c r="D25" s="164" t="s">
        <v>1788</v>
      </c>
      <c r="E25" s="164" t="s">
        <v>1778</v>
      </c>
      <c r="F25" s="302">
        <v>76032</v>
      </c>
      <c r="G25" s="302">
        <v>75271.679999999993</v>
      </c>
      <c r="H25" s="302">
        <f t="shared" si="3"/>
        <v>760.32000000000698</v>
      </c>
      <c r="I25" s="303">
        <v>0.623</v>
      </c>
      <c r="J25" s="304">
        <v>0</v>
      </c>
    </row>
    <row r="26" spans="2:10" s="142" customFormat="1" ht="18" customHeight="1" x14ac:dyDescent="0.3">
      <c r="B26" s="164" t="s">
        <v>1782</v>
      </c>
      <c r="C26" s="164" t="s">
        <v>1785</v>
      </c>
      <c r="D26" s="164" t="s">
        <v>1786</v>
      </c>
      <c r="E26" s="164" t="s">
        <v>1779</v>
      </c>
      <c r="F26" s="302">
        <v>121197.6</v>
      </c>
      <c r="G26" s="302">
        <v>112713.76800000001</v>
      </c>
      <c r="H26" s="302">
        <f t="shared" si="3"/>
        <v>8483.8319999999949</v>
      </c>
      <c r="I26" s="303">
        <v>0.45</v>
      </c>
      <c r="J26" s="304">
        <v>13</v>
      </c>
    </row>
    <row r="27" spans="2:10" s="142" customFormat="1" ht="18" customHeight="1" x14ac:dyDescent="0.3">
      <c r="B27" s="164" t="s">
        <v>1782</v>
      </c>
      <c r="C27" s="164" t="s">
        <v>1783</v>
      </c>
      <c r="D27" s="164" t="s">
        <v>1784</v>
      </c>
      <c r="E27" s="164" t="s">
        <v>1779</v>
      </c>
      <c r="F27" s="302">
        <v>181988</v>
      </c>
      <c r="G27" s="302">
        <v>205646.44</v>
      </c>
      <c r="H27" s="302">
        <f t="shared" si="3"/>
        <v>-23658.440000000002</v>
      </c>
      <c r="I27" s="303">
        <v>0.432</v>
      </c>
      <c r="J27" s="304">
        <v>2</v>
      </c>
    </row>
    <row r="28" spans="2:10" s="142" customFormat="1" ht="18" customHeight="1" x14ac:dyDescent="0.3">
      <c r="B28" s="164" t="s">
        <v>1782</v>
      </c>
      <c r="C28" s="164" t="s">
        <v>1785</v>
      </c>
      <c r="D28" s="164" t="s">
        <v>1786</v>
      </c>
      <c r="E28" s="164" t="s">
        <v>1779</v>
      </c>
      <c r="F28" s="302">
        <v>110772</v>
      </c>
      <c r="G28" s="302">
        <v>94156.2</v>
      </c>
      <c r="H28" s="302">
        <f t="shared" si="3"/>
        <v>16615.800000000003</v>
      </c>
      <c r="I28" s="303">
        <v>0.39800000000000002</v>
      </c>
      <c r="J28" s="304">
        <v>9</v>
      </c>
    </row>
    <row r="29" spans="2:10" s="142" customFormat="1" ht="18" customHeight="1" x14ac:dyDescent="0.3">
      <c r="B29" s="164" t="s">
        <v>1782</v>
      </c>
      <c r="C29" s="164" t="s">
        <v>1783</v>
      </c>
      <c r="D29" s="164" t="s">
        <v>1787</v>
      </c>
      <c r="E29" s="164" t="s">
        <v>1778</v>
      </c>
      <c r="F29" s="302">
        <v>128563.2</v>
      </c>
      <c r="G29" s="302">
        <v>119563.776</v>
      </c>
      <c r="H29" s="302">
        <f t="shared" si="3"/>
        <v>8999.4239999999991</v>
      </c>
      <c r="I29" s="303">
        <v>0.39800000000000002</v>
      </c>
      <c r="J29" s="304">
        <v>8</v>
      </c>
    </row>
    <row r="30" spans="2:10" s="142" customFormat="1" ht="18" customHeight="1" x14ac:dyDescent="0.3">
      <c r="B30" s="164" t="s">
        <v>1782</v>
      </c>
      <c r="C30" s="164" t="s">
        <v>1783</v>
      </c>
      <c r="D30" s="164" t="s">
        <v>1784</v>
      </c>
      <c r="E30" s="164" t="s">
        <v>1778</v>
      </c>
      <c r="F30" s="302">
        <v>96768</v>
      </c>
      <c r="G30" s="302">
        <v>70640.639999999999</v>
      </c>
      <c r="H30" s="302">
        <f t="shared" si="3"/>
        <v>26127.360000000001</v>
      </c>
      <c r="I30" s="303">
        <v>0.34499999999999997</v>
      </c>
      <c r="J30" s="304">
        <v>2</v>
      </c>
    </row>
    <row r="31" spans="2:10" s="142" customFormat="1" ht="18" customHeight="1" x14ac:dyDescent="0.3">
      <c r="B31" s="164" t="s">
        <v>1782</v>
      </c>
      <c r="C31" s="164" t="s">
        <v>1785</v>
      </c>
      <c r="D31" s="164" t="s">
        <v>1789</v>
      </c>
      <c r="E31" s="164" t="s">
        <v>1779</v>
      </c>
      <c r="F31" s="302">
        <v>110772</v>
      </c>
      <c r="G31" s="302">
        <v>125172.36</v>
      </c>
      <c r="H31" s="302">
        <f t="shared" si="3"/>
        <v>-14400.36</v>
      </c>
      <c r="I31" s="303">
        <v>0.498</v>
      </c>
      <c r="J31" s="304">
        <v>1</v>
      </c>
    </row>
    <row r="32" spans="2:10" s="142" customFormat="1" ht="18" customHeight="1" x14ac:dyDescent="0.3">
      <c r="B32" s="164" t="s">
        <v>1782</v>
      </c>
      <c r="C32" s="164" t="s">
        <v>1783</v>
      </c>
      <c r="D32" s="164" t="s">
        <v>1784</v>
      </c>
      <c r="E32" s="164" t="s">
        <v>1778</v>
      </c>
      <c r="F32" s="302">
        <v>432900</v>
      </c>
      <c r="G32" s="302">
        <v>367965</v>
      </c>
      <c r="H32" s="302">
        <f t="shared" si="3"/>
        <v>64935</v>
      </c>
      <c r="I32" s="303">
        <v>0.247</v>
      </c>
      <c r="J32" s="304">
        <v>2</v>
      </c>
    </row>
    <row r="33" spans="2:10" s="142" customFormat="1" ht="18" customHeight="1" x14ac:dyDescent="0.3">
      <c r="B33" s="164" t="s">
        <v>1782</v>
      </c>
      <c r="C33" s="164" t="s">
        <v>1785</v>
      </c>
      <c r="D33" s="164" t="s">
        <v>1789</v>
      </c>
      <c r="E33" s="164" t="s">
        <v>1779</v>
      </c>
      <c r="F33" s="302">
        <v>91224</v>
      </c>
      <c r="G33" s="302">
        <v>127713.60000000001</v>
      </c>
      <c r="H33" s="302">
        <f t="shared" si="3"/>
        <v>-36489.600000000006</v>
      </c>
      <c r="I33" s="303">
        <v>0.247</v>
      </c>
      <c r="J33" s="304">
        <v>4</v>
      </c>
    </row>
    <row r="34" spans="2:10" s="142" customFormat="1" ht="18" customHeight="1" x14ac:dyDescent="0.3">
      <c r="B34" s="164" t="s">
        <v>1782</v>
      </c>
      <c r="C34" s="164" t="s">
        <v>1785</v>
      </c>
      <c r="D34" s="164" t="s">
        <v>1789</v>
      </c>
      <c r="E34" s="164" t="s">
        <v>1778</v>
      </c>
      <c r="F34" s="302">
        <v>217504</v>
      </c>
      <c r="G34" s="302">
        <v>184878.4</v>
      </c>
      <c r="H34" s="302">
        <f t="shared" si="3"/>
        <v>32625.600000000006</v>
      </c>
      <c r="I34" s="303">
        <v>0.23300000000000001</v>
      </c>
      <c r="J34" s="304">
        <v>9</v>
      </c>
    </row>
    <row r="35" spans="2:10" s="142" customFormat="1" ht="18" customHeight="1" x14ac:dyDescent="0.3">
      <c r="B35" s="164" t="s">
        <v>1782</v>
      </c>
      <c r="C35" s="164" t="s">
        <v>1783</v>
      </c>
      <c r="D35" s="164" t="s">
        <v>1787</v>
      </c>
      <c r="E35" s="164" t="s">
        <v>1778</v>
      </c>
      <c r="F35" s="302">
        <v>128563.2</v>
      </c>
      <c r="G35" s="302">
        <v>119563.776</v>
      </c>
      <c r="H35" s="302">
        <f t="shared" si="3"/>
        <v>8999.4239999999991</v>
      </c>
      <c r="I35" s="303">
        <v>0.23300000000000001</v>
      </c>
      <c r="J35" s="304">
        <v>1</v>
      </c>
    </row>
    <row r="36" spans="2:10" s="142" customFormat="1" ht="18" customHeight="1" x14ac:dyDescent="0.3">
      <c r="B36" s="164" t="s">
        <v>1782</v>
      </c>
      <c r="C36" s="164" t="s">
        <v>1785</v>
      </c>
      <c r="D36" s="164" t="s">
        <v>1786</v>
      </c>
      <c r="E36" s="164" t="s">
        <v>1779</v>
      </c>
      <c r="F36" s="302">
        <v>121197.6</v>
      </c>
      <c r="G36" s="302">
        <v>112713.76800000001</v>
      </c>
      <c r="H36" s="302">
        <f t="shared" si="3"/>
        <v>8483.8319999999949</v>
      </c>
      <c r="I36" s="303">
        <v>0.23300000000000001</v>
      </c>
      <c r="J36" s="304">
        <v>0</v>
      </c>
    </row>
    <row r="37" spans="2:10" s="142" customFormat="1" ht="18" customHeight="1" x14ac:dyDescent="0.3">
      <c r="B37" s="164" t="s">
        <v>1782</v>
      </c>
      <c r="C37" s="164" t="s">
        <v>1785</v>
      </c>
      <c r="D37" s="164" t="s">
        <v>1789</v>
      </c>
      <c r="E37" s="164" t="s">
        <v>1779</v>
      </c>
      <c r="F37" s="302">
        <v>110772</v>
      </c>
      <c r="G37" s="302">
        <v>125172.36</v>
      </c>
      <c r="H37" s="302">
        <f t="shared" si="3"/>
        <v>-14400.36</v>
      </c>
      <c r="I37" s="303">
        <v>0.23300000000000001</v>
      </c>
      <c r="J37" s="304">
        <v>0</v>
      </c>
    </row>
    <row r="38" spans="2:10" s="142" customFormat="1" ht="18" customHeight="1" x14ac:dyDescent="0.3">
      <c r="B38" s="164" t="s">
        <v>1782</v>
      </c>
      <c r="C38" s="164" t="s">
        <v>1785</v>
      </c>
      <c r="D38" s="164" t="s">
        <v>1789</v>
      </c>
      <c r="E38" s="164" t="s">
        <v>1778</v>
      </c>
      <c r="F38" s="302">
        <v>128563.2</v>
      </c>
      <c r="G38" s="302">
        <v>119563.776</v>
      </c>
      <c r="H38" s="302">
        <f t="shared" si="3"/>
        <v>8999.4239999999991</v>
      </c>
      <c r="I38" s="303">
        <v>0.154</v>
      </c>
      <c r="J38" s="304">
        <v>3</v>
      </c>
    </row>
    <row r="39" spans="2:10" s="142" customFormat="1" ht="18" customHeight="1" x14ac:dyDescent="0.3">
      <c r="B39" s="164" t="s">
        <v>1782</v>
      </c>
      <c r="C39" s="164" t="s">
        <v>1783</v>
      </c>
      <c r="D39" s="164" t="s">
        <v>1784</v>
      </c>
      <c r="E39" s="164" t="s">
        <v>1779</v>
      </c>
      <c r="F39" s="302">
        <v>121197.6</v>
      </c>
      <c r="G39" s="302">
        <v>112713.76800000001</v>
      </c>
      <c r="H39" s="302">
        <f t="shared" si="3"/>
        <v>8483.8319999999949</v>
      </c>
      <c r="I39" s="303">
        <v>0.154</v>
      </c>
      <c r="J39" s="304">
        <v>4</v>
      </c>
    </row>
    <row r="40" spans="2:10" s="142" customFormat="1" ht="18" customHeight="1" x14ac:dyDescent="0.3">
      <c r="B40" s="164" t="s">
        <v>1782</v>
      </c>
      <c r="C40" s="164" t="s">
        <v>1785</v>
      </c>
      <c r="D40" s="164" t="s">
        <v>1789</v>
      </c>
      <c r="E40" s="164" t="s">
        <v>1779</v>
      </c>
      <c r="F40" s="302">
        <v>71676</v>
      </c>
      <c r="G40" s="302">
        <v>70959.240000000005</v>
      </c>
      <c r="H40" s="302">
        <f t="shared" si="3"/>
        <v>716.75999999999476</v>
      </c>
      <c r="I40" s="303">
        <v>0.13400000000000001</v>
      </c>
      <c r="J40" s="304">
        <v>9</v>
      </c>
    </row>
    <row r="41" spans="2:10" s="142" customFormat="1" ht="18" customHeight="1" x14ac:dyDescent="0.3">
      <c r="B41" s="164" t="s">
        <v>1790</v>
      </c>
      <c r="C41" s="164" t="s">
        <v>1776</v>
      </c>
      <c r="D41" s="164" t="s">
        <v>1777</v>
      </c>
      <c r="E41" s="164" t="s">
        <v>1791</v>
      </c>
      <c r="F41" s="302">
        <v>94936.320000000007</v>
      </c>
      <c r="G41" s="302">
        <v>77847.782399999996</v>
      </c>
      <c r="H41" s="302">
        <f t="shared" si="3"/>
        <v>17088.537600000011</v>
      </c>
      <c r="I41" s="303">
        <v>0.57599999999999996</v>
      </c>
      <c r="J41" s="304">
        <v>8</v>
      </c>
    </row>
    <row r="42" spans="2:10" s="142" customFormat="1" ht="18" customHeight="1" x14ac:dyDescent="0.3">
      <c r="B42" s="164" t="s">
        <v>1790</v>
      </c>
      <c r="C42" s="164" t="s">
        <v>1776</v>
      </c>
      <c r="D42" s="164" t="s">
        <v>1780</v>
      </c>
      <c r="E42" s="164" t="s">
        <v>1791</v>
      </c>
      <c r="F42" s="302">
        <v>69465.600000000006</v>
      </c>
      <c r="G42" s="302">
        <v>66686.975999999995</v>
      </c>
      <c r="H42" s="302">
        <f t="shared" si="3"/>
        <v>2778.6240000000107</v>
      </c>
      <c r="I42" s="303">
        <v>0.57299999999999995</v>
      </c>
      <c r="J42" s="304">
        <v>8</v>
      </c>
    </row>
    <row r="43" spans="2:10" s="142" customFormat="1" ht="18" customHeight="1" x14ac:dyDescent="0.3">
      <c r="B43" s="164" t="s">
        <v>1790</v>
      </c>
      <c r="C43" s="164" t="s">
        <v>1776</v>
      </c>
      <c r="D43" s="164" t="s">
        <v>1777</v>
      </c>
      <c r="E43" s="164" t="s">
        <v>1778</v>
      </c>
      <c r="F43" s="302">
        <v>519480</v>
      </c>
      <c r="G43" s="302">
        <v>1443556</v>
      </c>
      <c r="H43" s="302">
        <f t="shared" ref="H43:H74" si="4">F43-G43</f>
        <v>-924076</v>
      </c>
      <c r="I43" s="303">
        <v>0.39800000000000002</v>
      </c>
      <c r="J43" s="304">
        <v>6</v>
      </c>
    </row>
    <row r="44" spans="2:10" s="142" customFormat="1" ht="18" customHeight="1" x14ac:dyDescent="0.3">
      <c r="B44" s="164" t="s">
        <v>1790</v>
      </c>
      <c r="C44" s="164" t="s">
        <v>1776</v>
      </c>
      <c r="D44" s="164" t="s">
        <v>1781</v>
      </c>
      <c r="E44" s="164" t="s">
        <v>1792</v>
      </c>
      <c r="F44" s="302">
        <v>113923.584</v>
      </c>
      <c r="G44" s="302">
        <v>93417.338879999996</v>
      </c>
      <c r="H44" s="302">
        <f t="shared" si="4"/>
        <v>20506.245120000007</v>
      </c>
      <c r="I44" s="303">
        <v>0.35599999999999998</v>
      </c>
      <c r="J44" s="304">
        <v>2</v>
      </c>
    </row>
    <row r="45" spans="2:10" s="142" customFormat="1" ht="18" customHeight="1" x14ac:dyDescent="0.3">
      <c r="B45" s="164" t="s">
        <v>1790</v>
      </c>
      <c r="C45" s="164" t="s">
        <v>1776</v>
      </c>
      <c r="D45" s="164" t="s">
        <v>1780</v>
      </c>
      <c r="E45" s="164" t="s">
        <v>1792</v>
      </c>
      <c r="F45" s="302">
        <v>154275.84</v>
      </c>
      <c r="G45" s="302">
        <v>143476.5312</v>
      </c>
      <c r="H45" s="302">
        <f t="shared" si="4"/>
        <v>10799.308799999999</v>
      </c>
      <c r="I45" s="303">
        <v>0.52200000000000002</v>
      </c>
      <c r="J45" s="304">
        <v>4</v>
      </c>
    </row>
    <row r="46" spans="2:10" s="142" customFormat="1" ht="18" customHeight="1" x14ac:dyDescent="0.3">
      <c r="B46" s="164" t="s">
        <v>1790</v>
      </c>
      <c r="C46" s="164" t="s">
        <v>1776</v>
      </c>
      <c r="D46" s="164" t="s">
        <v>1777</v>
      </c>
      <c r="E46" s="164" t="s">
        <v>1792</v>
      </c>
      <c r="F46" s="302">
        <v>91238.399999999994</v>
      </c>
      <c r="G46" s="302">
        <v>90326.015999999989</v>
      </c>
      <c r="H46" s="302">
        <f t="shared" si="4"/>
        <v>912.38400000000547</v>
      </c>
      <c r="I46" s="303">
        <v>0.315</v>
      </c>
      <c r="J46" s="304">
        <v>9</v>
      </c>
    </row>
    <row r="47" spans="2:10" s="142" customFormat="1" ht="18" customHeight="1" x14ac:dyDescent="0.3">
      <c r="B47" s="164" t="s">
        <v>1790</v>
      </c>
      <c r="C47" s="164" t="s">
        <v>1776</v>
      </c>
      <c r="D47" s="164" t="s">
        <v>1781</v>
      </c>
      <c r="E47" s="164" t="s">
        <v>1791</v>
      </c>
      <c r="F47" s="302">
        <v>91463.039999999994</v>
      </c>
      <c r="G47" s="302">
        <v>72255.801599999992</v>
      </c>
      <c r="H47" s="302">
        <f t="shared" si="4"/>
        <v>19207.238400000002</v>
      </c>
      <c r="I47" s="303">
        <v>0.27600000000000002</v>
      </c>
      <c r="J47" s="304">
        <v>5</v>
      </c>
    </row>
    <row r="48" spans="2:10" s="142" customFormat="1" ht="18" customHeight="1" x14ac:dyDescent="0.3">
      <c r="B48" s="164" t="s">
        <v>1790</v>
      </c>
      <c r="C48" s="164" t="s">
        <v>1776</v>
      </c>
      <c r="D48" s="164" t="s">
        <v>1777</v>
      </c>
      <c r="E48" s="164" t="s">
        <v>1792</v>
      </c>
      <c r="F48" s="302">
        <v>90305.279999999999</v>
      </c>
      <c r="G48" s="302">
        <v>70438.118399999992</v>
      </c>
      <c r="H48" s="302">
        <f t="shared" si="4"/>
        <v>19867.161600000007</v>
      </c>
      <c r="I48" s="305">
        <v>0.26500000000000001</v>
      </c>
      <c r="J48" s="304">
        <v>2</v>
      </c>
    </row>
    <row r="49" spans="2:10" s="142" customFormat="1" ht="18" customHeight="1" x14ac:dyDescent="0.3">
      <c r="B49" s="164" t="s">
        <v>1790</v>
      </c>
      <c r="C49" s="164" t="s">
        <v>1776</v>
      </c>
      <c r="D49" s="164" t="s">
        <v>1780</v>
      </c>
      <c r="E49" s="164" t="s">
        <v>1792</v>
      </c>
      <c r="F49" s="302">
        <v>92620.800000000003</v>
      </c>
      <c r="G49" s="302">
        <v>104661.504</v>
      </c>
      <c r="H49" s="302">
        <f t="shared" si="4"/>
        <v>-12040.703999999998</v>
      </c>
      <c r="I49" s="303">
        <v>0.255</v>
      </c>
      <c r="J49" s="304">
        <v>9</v>
      </c>
    </row>
    <row r="50" spans="2:10" s="142" customFormat="1" ht="18" customHeight="1" x14ac:dyDescent="0.3">
      <c r="B50" s="164" t="s">
        <v>1790</v>
      </c>
      <c r="C50" s="164" t="s">
        <v>1776</v>
      </c>
      <c r="D50" s="164" t="s">
        <v>1781</v>
      </c>
      <c r="E50" s="164" t="s">
        <v>1791</v>
      </c>
      <c r="F50" s="302">
        <v>154275.84</v>
      </c>
      <c r="G50" s="302">
        <v>143476.5312</v>
      </c>
      <c r="H50" s="302">
        <f t="shared" si="4"/>
        <v>10799.308799999999</v>
      </c>
      <c r="I50" s="303">
        <v>0.247</v>
      </c>
      <c r="J50" s="304">
        <v>8</v>
      </c>
    </row>
    <row r="51" spans="2:10" s="142" customFormat="1" ht="18" customHeight="1" x14ac:dyDescent="0.3">
      <c r="B51" s="164" t="s">
        <v>1790</v>
      </c>
      <c r="C51" s="164" t="s">
        <v>1776</v>
      </c>
      <c r="D51" s="164" t="s">
        <v>1781</v>
      </c>
      <c r="E51" s="164" t="s">
        <v>1792</v>
      </c>
      <c r="F51" s="302">
        <v>1447185.6</v>
      </c>
      <c r="G51" s="302">
        <v>975545</v>
      </c>
      <c r="H51" s="302">
        <f t="shared" si="4"/>
        <v>471640.60000000009</v>
      </c>
      <c r="I51" s="303">
        <v>0.23300000000000001</v>
      </c>
      <c r="J51" s="304">
        <v>9</v>
      </c>
    </row>
    <row r="52" spans="2:10" s="142" customFormat="1" ht="18" customHeight="1" x14ac:dyDescent="0.3">
      <c r="B52" s="164" t="s">
        <v>1790</v>
      </c>
      <c r="C52" s="164" t="s">
        <v>1776</v>
      </c>
      <c r="D52" s="164" t="s">
        <v>1780</v>
      </c>
      <c r="E52" s="164" t="s">
        <v>1791</v>
      </c>
      <c r="F52" s="302">
        <v>113923.584</v>
      </c>
      <c r="G52" s="302">
        <v>93417.338879999996</v>
      </c>
      <c r="H52" s="302">
        <f t="shared" si="4"/>
        <v>20506.245120000007</v>
      </c>
      <c r="I52" s="303">
        <v>0.187</v>
      </c>
      <c r="J52" s="304">
        <v>5</v>
      </c>
    </row>
    <row r="53" spans="2:10" s="142" customFormat="1" ht="18" customHeight="1" x14ac:dyDescent="0.3">
      <c r="B53" s="164" t="s">
        <v>1790</v>
      </c>
      <c r="C53" s="164" t="s">
        <v>1776</v>
      </c>
      <c r="D53" s="164" t="s">
        <v>1781</v>
      </c>
      <c r="E53" s="164" t="s">
        <v>1792</v>
      </c>
      <c r="F53" s="302">
        <v>94936.320000000007</v>
      </c>
      <c r="G53" s="302">
        <v>77847.782399999996</v>
      </c>
      <c r="H53" s="302">
        <f t="shared" si="4"/>
        <v>17088.537600000011</v>
      </c>
      <c r="I53" s="303">
        <v>0.13400000000000001</v>
      </c>
      <c r="J53" s="304">
        <v>4</v>
      </c>
    </row>
    <row r="54" spans="2:10" s="142" customFormat="1" ht="18" customHeight="1" x14ac:dyDescent="0.3">
      <c r="B54" s="164" t="s">
        <v>1793</v>
      </c>
      <c r="C54" s="164" t="s">
        <v>1783</v>
      </c>
      <c r="D54" s="164" t="s">
        <v>1784</v>
      </c>
      <c r="E54" s="164" t="s">
        <v>1778</v>
      </c>
      <c r="F54" s="302">
        <v>1205988</v>
      </c>
      <c r="G54" s="302">
        <v>657880</v>
      </c>
      <c r="H54" s="302">
        <f t="shared" si="4"/>
        <v>548108</v>
      </c>
      <c r="I54" s="303">
        <v>0.432</v>
      </c>
      <c r="J54" s="304">
        <v>10</v>
      </c>
    </row>
    <row r="55" spans="2:10" s="142" customFormat="1" ht="18" customHeight="1" x14ac:dyDescent="0.3">
      <c r="B55" s="164" t="s">
        <v>1793</v>
      </c>
      <c r="C55" s="164" t="s">
        <v>1783</v>
      </c>
      <c r="D55" s="164" t="s">
        <v>1784</v>
      </c>
      <c r="E55" s="164" t="s">
        <v>1778</v>
      </c>
      <c r="F55" s="302">
        <f>128563.2+200000</f>
        <v>328563.20000000001</v>
      </c>
      <c r="G55" s="302">
        <v>305563.77600000001</v>
      </c>
      <c r="H55" s="302">
        <f t="shared" si="4"/>
        <v>22999.423999999999</v>
      </c>
      <c r="I55" s="305">
        <v>0.39800000000000002</v>
      </c>
      <c r="J55" s="304">
        <v>3</v>
      </c>
    </row>
    <row r="56" spans="2:10" s="142" customFormat="1" ht="18" customHeight="1" x14ac:dyDescent="0.3">
      <c r="B56" s="164" t="s">
        <v>1794</v>
      </c>
      <c r="C56" s="164" t="s">
        <v>1785</v>
      </c>
      <c r="D56" s="164" t="s">
        <v>1789</v>
      </c>
      <c r="E56" s="164" t="s">
        <v>1791</v>
      </c>
      <c r="F56" s="302">
        <v>54120</v>
      </c>
      <c r="G56" s="302">
        <v>44378.400000000001</v>
      </c>
      <c r="H56" s="302">
        <f t="shared" si="4"/>
        <v>9741.5999999999985</v>
      </c>
      <c r="I56" s="303">
        <v>0.54300000000000004</v>
      </c>
      <c r="J56" s="304">
        <v>3</v>
      </c>
    </row>
    <row r="57" spans="2:10" s="142" customFormat="1" ht="18" customHeight="1" x14ac:dyDescent="0.3">
      <c r="B57" s="164" t="s">
        <v>1794</v>
      </c>
      <c r="C57" s="164" t="s">
        <v>1783</v>
      </c>
      <c r="D57" s="164" t="s">
        <v>1784</v>
      </c>
      <c r="E57" s="164" t="s">
        <v>1791</v>
      </c>
      <c r="F57" s="302">
        <v>39600</v>
      </c>
      <c r="G57" s="302">
        <v>38016</v>
      </c>
      <c r="H57" s="302">
        <f t="shared" si="4"/>
        <v>1584</v>
      </c>
      <c r="I57" s="303">
        <v>0.61199999999999999</v>
      </c>
      <c r="J57" s="304">
        <v>2</v>
      </c>
    </row>
    <row r="58" spans="2:10" s="142" customFormat="1" ht="18" customHeight="1" x14ac:dyDescent="0.3">
      <c r="B58" s="164" t="s">
        <v>1794</v>
      </c>
      <c r="C58" s="164" t="s">
        <v>1785</v>
      </c>
      <c r="D58" s="164" t="s">
        <v>1786</v>
      </c>
      <c r="E58" s="164" t="s">
        <v>1792</v>
      </c>
      <c r="F58" s="302">
        <v>77184</v>
      </c>
      <c r="G58" s="302">
        <v>87217.919999999998</v>
      </c>
      <c r="H58" s="302">
        <f t="shared" si="4"/>
        <v>-10033.919999999998</v>
      </c>
      <c r="I58" s="303">
        <v>0.34399999999999997</v>
      </c>
      <c r="J58" s="304">
        <v>5</v>
      </c>
    </row>
    <row r="59" spans="2:10" s="142" customFormat="1" ht="18" customHeight="1" x14ac:dyDescent="0.3">
      <c r="B59" s="164" t="s">
        <v>1794</v>
      </c>
      <c r="C59" s="164" t="s">
        <v>1785</v>
      </c>
      <c r="D59" s="164" t="s">
        <v>1786</v>
      </c>
      <c r="E59" s="164" t="s">
        <v>1792</v>
      </c>
      <c r="F59" s="302">
        <v>76219.199999999997</v>
      </c>
      <c r="G59" s="302">
        <v>60213.167999999998</v>
      </c>
      <c r="H59" s="302">
        <f t="shared" si="4"/>
        <v>16006.031999999999</v>
      </c>
      <c r="I59" s="303">
        <v>0.754</v>
      </c>
      <c r="J59" s="304">
        <v>1</v>
      </c>
    </row>
    <row r="60" spans="2:10" s="142" customFormat="1" ht="18" customHeight="1" x14ac:dyDescent="0.3">
      <c r="B60" s="164" t="s">
        <v>1794</v>
      </c>
      <c r="C60" s="164" t="s">
        <v>1783</v>
      </c>
      <c r="D60" s="164" t="s">
        <v>1784</v>
      </c>
      <c r="E60" s="164" t="s">
        <v>1792</v>
      </c>
      <c r="F60" s="302">
        <v>79113.600000000006</v>
      </c>
      <c r="G60" s="302">
        <v>64873.152000000002</v>
      </c>
      <c r="H60" s="302">
        <f t="shared" si="4"/>
        <v>14240.448000000004</v>
      </c>
      <c r="I60" s="303">
        <v>0.435</v>
      </c>
      <c r="J60" s="304">
        <v>6</v>
      </c>
    </row>
    <row r="61" spans="2:10" s="142" customFormat="1" ht="18" customHeight="1" x14ac:dyDescent="0.3">
      <c r="B61" s="164" t="s">
        <v>1794</v>
      </c>
      <c r="C61" s="164" t="s">
        <v>1785</v>
      </c>
      <c r="D61" s="164" t="s">
        <v>1789</v>
      </c>
      <c r="E61" s="164" t="s">
        <v>1791</v>
      </c>
      <c r="F61" s="302">
        <v>39600</v>
      </c>
      <c r="G61" s="302">
        <v>38016</v>
      </c>
      <c r="H61" s="302">
        <f t="shared" si="4"/>
        <v>1584</v>
      </c>
      <c r="I61" s="303">
        <v>0.56299999999999994</v>
      </c>
      <c r="J61" s="304">
        <v>8</v>
      </c>
    </row>
    <row r="62" spans="2:10" s="142" customFormat="1" ht="18" customHeight="1" x14ac:dyDescent="0.3">
      <c r="B62" s="164" t="s">
        <v>1794</v>
      </c>
      <c r="C62" s="164" t="s">
        <v>1783</v>
      </c>
      <c r="D62" s="164" t="s">
        <v>1784</v>
      </c>
      <c r="E62" s="164" t="s">
        <v>1779</v>
      </c>
      <c r="F62" s="302">
        <v>71676</v>
      </c>
      <c r="G62" s="302">
        <v>70959.240000000005</v>
      </c>
      <c r="H62" s="302">
        <f t="shared" si="4"/>
        <v>716.75999999999476</v>
      </c>
      <c r="I62" s="303">
        <v>0.23400000000000001</v>
      </c>
      <c r="J62" s="304">
        <v>1</v>
      </c>
    </row>
    <row r="63" spans="2:10" s="142" customFormat="1" ht="18" customHeight="1" x14ac:dyDescent="0.3">
      <c r="B63" s="164" t="s">
        <v>1794</v>
      </c>
      <c r="C63" s="164" t="s">
        <v>1783</v>
      </c>
      <c r="D63" s="164" t="s">
        <v>1787</v>
      </c>
      <c r="E63" s="164" t="s">
        <v>1792</v>
      </c>
      <c r="F63" s="302">
        <v>75254.399999999994</v>
      </c>
      <c r="G63" s="302">
        <v>58698.432000000001</v>
      </c>
      <c r="H63" s="302">
        <f t="shared" si="4"/>
        <v>16555.967999999993</v>
      </c>
      <c r="I63" s="303">
        <v>0.35599999999999998</v>
      </c>
      <c r="J63" s="304">
        <v>5</v>
      </c>
    </row>
    <row r="64" spans="2:10" s="142" customFormat="1" ht="18" customHeight="1" x14ac:dyDescent="0.3">
      <c r="B64" s="164" t="s">
        <v>1794</v>
      </c>
      <c r="C64" s="164" t="s">
        <v>1785</v>
      </c>
      <c r="D64" s="164" t="s">
        <v>1786</v>
      </c>
      <c r="E64" s="164" t="s">
        <v>1791</v>
      </c>
      <c r="F64" s="302">
        <v>52140</v>
      </c>
      <c r="G64" s="302">
        <v>41190.6</v>
      </c>
      <c r="H64" s="302">
        <f t="shared" si="4"/>
        <v>10949.400000000001</v>
      </c>
      <c r="I64" s="303">
        <v>0.35599999999999998</v>
      </c>
      <c r="J64" s="304">
        <v>5</v>
      </c>
    </row>
    <row r="65" spans="2:10" s="142" customFormat="1" ht="18" customHeight="1" x14ac:dyDescent="0.3">
      <c r="B65" s="164" t="s">
        <v>1794</v>
      </c>
      <c r="C65" s="164" t="s">
        <v>1785</v>
      </c>
      <c r="D65" s="164" t="s">
        <v>1789</v>
      </c>
      <c r="E65" s="164" t="s">
        <v>1791</v>
      </c>
      <c r="F65" s="302">
        <v>54120</v>
      </c>
      <c r="G65" s="302">
        <v>44378.400000000001</v>
      </c>
      <c r="H65" s="302">
        <f t="shared" si="4"/>
        <v>9741.5999999999985</v>
      </c>
      <c r="I65" s="303">
        <v>0.377</v>
      </c>
      <c r="J65" s="304">
        <v>8</v>
      </c>
    </row>
    <row r="66" spans="2:10" s="142" customFormat="1" ht="18" customHeight="1" x14ac:dyDescent="0.3">
      <c r="B66" s="164" t="s">
        <v>1794</v>
      </c>
      <c r="C66" s="164" t="s">
        <v>1783</v>
      </c>
      <c r="D66" s="164" t="s">
        <v>1784</v>
      </c>
      <c r="E66" s="164" t="s">
        <v>1792</v>
      </c>
      <c r="F66" s="302">
        <v>57888</v>
      </c>
      <c r="G66" s="302">
        <v>55572.480000000003</v>
      </c>
      <c r="H66" s="302">
        <f t="shared" si="4"/>
        <v>2315.5199999999968</v>
      </c>
      <c r="I66" s="303">
        <v>0.245</v>
      </c>
      <c r="J66" s="304">
        <v>5</v>
      </c>
    </row>
    <row r="67" spans="2:10" s="142" customFormat="1" ht="18" customHeight="1" x14ac:dyDescent="0.3">
      <c r="B67" s="164" t="s">
        <v>1794</v>
      </c>
      <c r="C67" s="164" t="s">
        <v>1783</v>
      </c>
      <c r="D67" s="164" t="s">
        <v>1784</v>
      </c>
      <c r="E67" s="164" t="s">
        <v>1792</v>
      </c>
      <c r="F67" s="302">
        <v>79113.600000000006</v>
      </c>
      <c r="G67" s="302">
        <v>64873.152000000002</v>
      </c>
      <c r="H67" s="302">
        <f t="shared" si="4"/>
        <v>14240.448000000004</v>
      </c>
      <c r="I67" s="303">
        <v>0.27600000000000002</v>
      </c>
      <c r="J67" s="304">
        <v>0</v>
      </c>
    </row>
    <row r="68" spans="2:10" s="142" customFormat="1" ht="18" customHeight="1" x14ac:dyDescent="0.3">
      <c r="B68" s="164" t="s">
        <v>1794</v>
      </c>
      <c r="C68" s="164" t="s">
        <v>1785</v>
      </c>
      <c r="D68" s="164" t="s">
        <v>1786</v>
      </c>
      <c r="E68" s="164" t="s">
        <v>1791</v>
      </c>
      <c r="F68" s="302">
        <v>52140</v>
      </c>
      <c r="G68" s="302">
        <v>41190.6</v>
      </c>
      <c r="H68" s="302">
        <f t="shared" si="4"/>
        <v>10949.400000000001</v>
      </c>
      <c r="I68" s="303">
        <v>0.27600000000000002</v>
      </c>
      <c r="J68" s="304">
        <v>6</v>
      </c>
    </row>
    <row r="69" spans="2:10" s="142" customFormat="1" ht="18" customHeight="1" x14ac:dyDescent="0.3">
      <c r="B69" s="164" t="s">
        <v>1794</v>
      </c>
      <c r="C69" s="164" t="s">
        <v>1783</v>
      </c>
      <c r="D69" s="164" t="s">
        <v>1787</v>
      </c>
      <c r="E69" s="164" t="s">
        <v>1792</v>
      </c>
      <c r="F69" s="302">
        <v>76219.199999999997</v>
      </c>
      <c r="G69" s="302">
        <v>60213.167999999998</v>
      </c>
      <c r="H69" s="302">
        <f t="shared" si="4"/>
        <v>16006.031999999999</v>
      </c>
      <c r="I69" s="303">
        <v>0.26500000000000001</v>
      </c>
      <c r="J69" s="304">
        <v>7</v>
      </c>
    </row>
    <row r="70" spans="2:10" s="142" customFormat="1" ht="18" customHeight="1" x14ac:dyDescent="0.3">
      <c r="B70" s="164" t="s">
        <v>1794</v>
      </c>
      <c r="C70" s="164" t="s">
        <v>1783</v>
      </c>
      <c r="D70" s="164" t="s">
        <v>1784</v>
      </c>
      <c r="E70" s="164" t="s">
        <v>1791</v>
      </c>
      <c r="F70" s="302">
        <v>51480</v>
      </c>
      <c r="G70" s="302">
        <v>58172.4</v>
      </c>
      <c r="H70" s="302">
        <f t="shared" si="4"/>
        <v>-6692.4000000000015</v>
      </c>
      <c r="I70" s="305">
        <v>0.26500000000000001</v>
      </c>
      <c r="J70" s="304">
        <v>9</v>
      </c>
    </row>
    <row r="71" spans="2:10" s="142" customFormat="1" ht="18" customHeight="1" x14ac:dyDescent="0.3">
      <c r="B71" s="164" t="s">
        <v>1794</v>
      </c>
      <c r="C71" s="164" t="s">
        <v>1785</v>
      </c>
      <c r="D71" s="164" t="s">
        <v>1786</v>
      </c>
      <c r="E71" s="164" t="s">
        <v>1792</v>
      </c>
      <c r="F71" s="302">
        <v>75254.399999999994</v>
      </c>
      <c r="G71" s="302">
        <v>58698.432000000001</v>
      </c>
      <c r="H71" s="302">
        <f t="shared" si="4"/>
        <v>16555.967999999993</v>
      </c>
      <c r="I71" s="303">
        <v>0.255</v>
      </c>
      <c r="J71" s="304">
        <v>9</v>
      </c>
    </row>
    <row r="72" spans="2:10" s="142" customFormat="1" ht="18" customHeight="1" x14ac:dyDescent="0.3">
      <c r="B72" s="164" t="s">
        <v>1794</v>
      </c>
      <c r="C72" s="164" t="s">
        <v>1785</v>
      </c>
      <c r="D72" s="164" t="s">
        <v>1789</v>
      </c>
      <c r="E72" s="164" t="s">
        <v>1792</v>
      </c>
      <c r="F72" s="302">
        <v>79113.600000000006</v>
      </c>
      <c r="G72" s="302">
        <v>64873.152000000002</v>
      </c>
      <c r="H72" s="302">
        <f t="shared" si="4"/>
        <v>14240.448000000004</v>
      </c>
      <c r="I72" s="303">
        <v>0.255</v>
      </c>
      <c r="J72" s="304">
        <v>9</v>
      </c>
    </row>
    <row r="73" spans="2:10" s="142" customFormat="1" ht="18" customHeight="1" x14ac:dyDescent="0.3">
      <c r="B73" s="164" t="s">
        <v>1794</v>
      </c>
      <c r="C73" s="164" t="s">
        <v>1785</v>
      </c>
      <c r="D73" s="164" t="s">
        <v>1789</v>
      </c>
      <c r="E73" s="164" t="s">
        <v>1791</v>
      </c>
      <c r="F73" s="302">
        <v>51480</v>
      </c>
      <c r="G73" s="302">
        <v>40154.400000000001</v>
      </c>
      <c r="H73" s="302">
        <f t="shared" si="4"/>
        <v>11325.599999999999</v>
      </c>
      <c r="I73" s="303">
        <v>0.255</v>
      </c>
      <c r="J73" s="304">
        <v>2</v>
      </c>
    </row>
    <row r="74" spans="2:10" s="142" customFormat="1" ht="18" customHeight="1" x14ac:dyDescent="0.3">
      <c r="B74" s="164" t="s">
        <v>1794</v>
      </c>
      <c r="C74" s="164" t="s">
        <v>1785</v>
      </c>
      <c r="D74" s="164" t="s">
        <v>1786</v>
      </c>
      <c r="E74" s="164" t="s">
        <v>1792</v>
      </c>
      <c r="F74" s="302">
        <v>77184</v>
      </c>
      <c r="G74" s="302">
        <v>68693.759999999995</v>
      </c>
      <c r="H74" s="302">
        <f t="shared" si="4"/>
        <v>8490.2400000000052</v>
      </c>
      <c r="I74" s="303">
        <v>0.255</v>
      </c>
      <c r="J74" s="304">
        <v>5</v>
      </c>
    </row>
    <row r="75" spans="2:10" s="142" customFormat="1" ht="18" customHeight="1" x14ac:dyDescent="0.3">
      <c r="B75" s="164" t="s">
        <v>1794</v>
      </c>
      <c r="C75" s="164" t="s">
        <v>1785</v>
      </c>
      <c r="D75" s="164" t="s">
        <v>1786</v>
      </c>
      <c r="E75" s="164" t="s">
        <v>1791</v>
      </c>
      <c r="F75" s="302">
        <v>52800</v>
      </c>
      <c r="G75" s="302">
        <v>59664</v>
      </c>
      <c r="H75" s="302">
        <f t="shared" ref="H75:H78" si="5">F75-G75</f>
        <v>-6864</v>
      </c>
      <c r="I75" s="303">
        <v>0.255</v>
      </c>
      <c r="J75" s="304">
        <v>8</v>
      </c>
    </row>
    <row r="76" spans="2:10" s="142" customFormat="1" ht="18" customHeight="1" x14ac:dyDescent="0.3">
      <c r="B76" s="164" t="s">
        <v>1794</v>
      </c>
      <c r="C76" s="164" t="s">
        <v>1783</v>
      </c>
      <c r="D76" s="164" t="s">
        <v>1787</v>
      </c>
      <c r="E76" s="164" t="s">
        <v>1778</v>
      </c>
      <c r="F76" s="302">
        <v>296700</v>
      </c>
      <c r="G76" s="302">
        <v>216591</v>
      </c>
      <c r="H76" s="302">
        <f t="shared" si="5"/>
        <v>80109</v>
      </c>
      <c r="I76" s="303">
        <v>0.23300000000000001</v>
      </c>
      <c r="J76" s="304">
        <v>1</v>
      </c>
    </row>
    <row r="77" spans="2:10" s="142" customFormat="1" ht="18" customHeight="1" x14ac:dyDescent="0.3">
      <c r="B77" s="164" t="s">
        <v>1794</v>
      </c>
      <c r="C77" s="164" t="s">
        <v>1783</v>
      </c>
      <c r="D77" s="164" t="s">
        <v>1787</v>
      </c>
      <c r="E77" s="164" t="s">
        <v>1791</v>
      </c>
      <c r="F77" s="302">
        <v>52800</v>
      </c>
      <c r="G77" s="302">
        <v>46992</v>
      </c>
      <c r="H77" s="302">
        <f t="shared" si="5"/>
        <v>5808</v>
      </c>
      <c r="I77" s="303">
        <v>0.187</v>
      </c>
      <c r="J77" s="304">
        <v>9</v>
      </c>
    </row>
    <row r="78" spans="2:10" s="142" customFormat="1" ht="18" customHeight="1" x14ac:dyDescent="0.3">
      <c r="B78" s="164" t="s">
        <v>1794</v>
      </c>
      <c r="C78" s="164" t="s">
        <v>1783</v>
      </c>
      <c r="D78" s="164" t="s">
        <v>1784</v>
      </c>
      <c r="E78" s="164" t="s">
        <v>1792</v>
      </c>
      <c r="F78" s="302">
        <v>57888</v>
      </c>
      <c r="G78" s="302">
        <v>55572.480000000003</v>
      </c>
      <c r="H78" s="302">
        <f t="shared" si="5"/>
        <v>2315.5199999999968</v>
      </c>
      <c r="I78" s="303">
        <v>0.187</v>
      </c>
      <c r="J78" s="304">
        <v>3</v>
      </c>
    </row>
    <row r="79" spans="2:10" s="309" customFormat="1" ht="18" customHeight="1" x14ac:dyDescent="0.3">
      <c r="B79" s="188"/>
      <c r="C79" s="188"/>
      <c r="D79" s="188"/>
      <c r="E79" s="188"/>
      <c r="F79" s="306"/>
      <c r="G79" s="306"/>
      <c r="H79" s="306"/>
      <c r="I79" s="307"/>
      <c r="J79" s="308"/>
    </row>
    <row r="80" spans="2:10" s="142" customFormat="1" ht="15.6" x14ac:dyDescent="0.3"/>
    <row r="81" spans="2:2" s="142" customFormat="1" ht="15.6" x14ac:dyDescent="0.3"/>
    <row r="82" spans="2:2" s="142" customFormat="1" ht="15.6" x14ac:dyDescent="0.3"/>
    <row r="83" spans="2:2" s="142" customFormat="1" ht="15.6" x14ac:dyDescent="0.3"/>
    <row r="84" spans="2:2" s="142" customFormat="1" ht="15.6" x14ac:dyDescent="0.3"/>
    <row r="85" spans="2:2" s="142" customFormat="1" ht="15.6" x14ac:dyDescent="0.3"/>
    <row r="86" spans="2:2" s="142" customFormat="1" ht="15.6" x14ac:dyDescent="0.3"/>
    <row r="87" spans="2:2" s="142" customFormat="1" ht="15.6" x14ac:dyDescent="0.3"/>
    <row r="88" spans="2:2" s="142" customFormat="1" ht="15.6" x14ac:dyDescent="0.3"/>
    <row r="89" spans="2:2" s="142" customFormat="1" ht="15.6" x14ac:dyDescent="0.3"/>
    <row r="90" spans="2:2" s="142" customFormat="1" ht="15.6" x14ac:dyDescent="0.3"/>
    <row r="91" spans="2:2" s="142" customFormat="1" ht="15.6" x14ac:dyDescent="0.3"/>
    <row r="92" spans="2:2" s="142" customFormat="1" ht="15.6" x14ac:dyDescent="0.3"/>
    <row r="93" spans="2:2" s="142" customFormat="1" ht="15.6" x14ac:dyDescent="0.3"/>
    <row r="94" spans="2:2" ht="14.4" x14ac:dyDescent="0.3">
      <c r="B94" s="3"/>
    </row>
    <row r="95" spans="2:2" ht="14.4" x14ac:dyDescent="0.3">
      <c r="B95" s="3"/>
    </row>
    <row r="96" spans="2:2" ht="14.4" x14ac:dyDescent="0.3">
      <c r="B96" s="3"/>
    </row>
    <row r="97" spans="2:2" ht="14.4" x14ac:dyDescent="0.3">
      <c r="B97" s="3"/>
    </row>
    <row r="98" spans="2:2" ht="14.4" x14ac:dyDescent="0.3">
      <c r="B98" s="3"/>
    </row>
    <row r="99" spans="2:2" ht="14.4" x14ac:dyDescent="0.3">
      <c r="B99" s="3"/>
    </row>
    <row r="100" spans="2:2" ht="14.4" x14ac:dyDescent="0.3">
      <c r="B100" s="3"/>
    </row>
    <row r="101" spans="2:2" ht="14.4" x14ac:dyDescent="0.3">
      <c r="B101" s="3"/>
    </row>
    <row r="102" spans="2:2" ht="14.4" x14ac:dyDescent="0.3">
      <c r="B102" s="3"/>
    </row>
    <row r="103" spans="2:2" ht="14.4" x14ac:dyDescent="0.3">
      <c r="B103" s="3"/>
    </row>
    <row r="104" spans="2:2" ht="14.4" x14ac:dyDescent="0.3">
      <c r="B104" s="3"/>
    </row>
    <row r="105" spans="2:2" ht="14.4" x14ac:dyDescent="0.3">
      <c r="B105" s="3"/>
    </row>
    <row r="106" spans="2:2" ht="14.4" x14ac:dyDescent="0.3">
      <c r="B106" s="3"/>
    </row>
    <row r="107" spans="2:2" ht="14.4" x14ac:dyDescent="0.3">
      <c r="B107" s="3"/>
    </row>
    <row r="108" spans="2:2" ht="14.4" x14ac:dyDescent="0.3">
      <c r="B108" s="3"/>
    </row>
    <row r="109" spans="2:2" ht="14.4" x14ac:dyDescent="0.3">
      <c r="B109" s="3"/>
    </row>
    <row r="110" spans="2:2" ht="14.4" x14ac:dyDescent="0.3">
      <c r="B110" s="3"/>
    </row>
    <row r="111" spans="2:2" ht="14.4" x14ac:dyDescent="0.3">
      <c r="B111" s="3"/>
    </row>
    <row r="112" spans="2:2" ht="14.4" x14ac:dyDescent="0.3">
      <c r="B112" s="3"/>
    </row>
    <row r="113" spans="2:2" ht="14.4" x14ac:dyDescent="0.3">
      <c r="B113" s="3"/>
    </row>
    <row r="114" spans="2:2" ht="14.4" x14ac:dyDescent="0.3">
      <c r="B114" s="3"/>
    </row>
    <row r="115" spans="2:2" ht="14.4" x14ac:dyDescent="0.3">
      <c r="B115" s="3"/>
    </row>
    <row r="116" spans="2:2" ht="14.4" x14ac:dyDescent="0.3">
      <c r="B116" s="3"/>
    </row>
    <row r="117" spans="2:2" ht="14.4" x14ac:dyDescent="0.3">
      <c r="B117" s="3"/>
    </row>
    <row r="118" spans="2:2" ht="14.4" x14ac:dyDescent="0.3">
      <c r="B118" s="3"/>
    </row>
    <row r="119" spans="2:2" ht="14.4" x14ac:dyDescent="0.3">
      <c r="B119" s="3"/>
    </row>
    <row r="120" spans="2:2" ht="14.4" x14ac:dyDescent="0.3">
      <c r="B120" s="3"/>
    </row>
    <row r="121" spans="2:2" ht="14.4" x14ac:dyDescent="0.3">
      <c r="B121" s="3"/>
    </row>
    <row r="122" spans="2:2" ht="14.4" x14ac:dyDescent="0.3">
      <c r="B122" s="3"/>
    </row>
    <row r="123" spans="2:2" ht="14.4" x14ac:dyDescent="0.3">
      <c r="B123" s="3"/>
    </row>
    <row r="124" spans="2:2" ht="14.4" x14ac:dyDescent="0.3">
      <c r="B124" s="3"/>
    </row>
    <row r="125" spans="2:2" ht="14.4" x14ac:dyDescent="0.3">
      <c r="B125" s="3"/>
    </row>
    <row r="126" spans="2:2" ht="14.4" x14ac:dyDescent="0.3">
      <c r="B126" s="3"/>
    </row>
    <row r="127" spans="2:2" ht="14.4" x14ac:dyDescent="0.3">
      <c r="B127" s="3"/>
    </row>
    <row r="128" spans="2:2" ht="14.4" x14ac:dyDescent="0.3">
      <c r="B128" s="3"/>
    </row>
    <row r="129" spans="2:2" ht="14.4" x14ac:dyDescent="0.3">
      <c r="B129" s="3"/>
    </row>
    <row r="130" spans="2:2" ht="14.4" x14ac:dyDescent="0.3">
      <c r="B130" s="3"/>
    </row>
    <row r="131" spans="2:2" ht="14.4" x14ac:dyDescent="0.3">
      <c r="B131" s="3"/>
    </row>
    <row r="132" spans="2:2" ht="14.4" x14ac:dyDescent="0.3">
      <c r="B132" s="3"/>
    </row>
    <row r="133" spans="2:2" ht="14.4" x14ac:dyDescent="0.3">
      <c r="B133" s="3"/>
    </row>
    <row r="134" spans="2:2" ht="14.4" x14ac:dyDescent="0.3">
      <c r="B134" s="3"/>
    </row>
    <row r="135" spans="2:2" ht="14.4" x14ac:dyDescent="0.3">
      <c r="B135" s="3"/>
    </row>
    <row r="136" spans="2:2" ht="14.4" x14ac:dyDescent="0.3">
      <c r="B136" s="3"/>
    </row>
    <row r="137" spans="2:2" ht="14.4" x14ac:dyDescent="0.3">
      <c r="B137" s="3"/>
    </row>
    <row r="138" spans="2:2" ht="14.4" x14ac:dyDescent="0.3">
      <c r="B138" s="3"/>
    </row>
    <row r="139" spans="2:2" ht="14.4" x14ac:dyDescent="0.3">
      <c r="B139" s="3"/>
    </row>
    <row r="140" spans="2:2" ht="14.4" x14ac:dyDescent="0.3">
      <c r="B140" s="3"/>
    </row>
    <row r="141" spans="2:2" ht="14.4" x14ac:dyDescent="0.3">
      <c r="B141" s="3"/>
    </row>
    <row r="142" spans="2:2" ht="14.4" x14ac:dyDescent="0.3">
      <c r="B142" s="3"/>
    </row>
    <row r="143" spans="2:2" ht="14.4" x14ac:dyDescent="0.3">
      <c r="B143" s="3"/>
    </row>
    <row r="144" spans="2:2" ht="14.4" x14ac:dyDescent="0.3">
      <c r="B144" s="3"/>
    </row>
    <row r="145" spans="2:2" ht="14.4" x14ac:dyDescent="0.3">
      <c r="B145" s="3"/>
    </row>
    <row r="146" spans="2:2" ht="14.4" x14ac:dyDescent="0.3">
      <c r="B146" s="3"/>
    </row>
    <row r="147" spans="2:2" ht="14.4" x14ac:dyDescent="0.3">
      <c r="B147" s="3"/>
    </row>
    <row r="148" spans="2:2" ht="14.4" x14ac:dyDescent="0.3">
      <c r="B148" s="3"/>
    </row>
    <row r="149" spans="2:2" ht="14.4" x14ac:dyDescent="0.3">
      <c r="B149" s="3"/>
    </row>
    <row r="150" spans="2:2" ht="14.4" x14ac:dyDescent="0.3">
      <c r="B150" s="3"/>
    </row>
    <row r="151" spans="2:2" ht="14.4" x14ac:dyDescent="0.3">
      <c r="B151" s="3"/>
    </row>
    <row r="152" spans="2:2" ht="14.4" x14ac:dyDescent="0.3">
      <c r="B152" s="3"/>
    </row>
    <row r="153" spans="2:2" ht="14.4" x14ac:dyDescent="0.3">
      <c r="B153" s="3"/>
    </row>
    <row r="154" spans="2:2" ht="14.4" x14ac:dyDescent="0.3">
      <c r="B154" s="3"/>
    </row>
    <row r="155" spans="2:2" ht="14.4" x14ac:dyDescent="0.3">
      <c r="B155" s="3"/>
    </row>
    <row r="156" spans="2:2" ht="14.4" x14ac:dyDescent="0.3">
      <c r="B156" s="3"/>
    </row>
    <row r="157" spans="2:2" ht="14.4" x14ac:dyDescent="0.3">
      <c r="B157" s="3"/>
    </row>
    <row r="158" spans="2:2" ht="14.4" x14ac:dyDescent="0.3">
      <c r="B158" s="3"/>
    </row>
    <row r="159" spans="2:2" ht="14.4" x14ac:dyDescent="0.3">
      <c r="B159" s="3"/>
    </row>
    <row r="160" spans="2:2" ht="14.4" x14ac:dyDescent="0.3">
      <c r="B160" s="3"/>
    </row>
    <row r="161" spans="2:2" ht="14.4" x14ac:dyDescent="0.3">
      <c r="B161" s="3"/>
    </row>
    <row r="162" spans="2:2" ht="14.4" x14ac:dyDescent="0.3">
      <c r="B162" s="3"/>
    </row>
    <row r="163" spans="2:2" ht="14.4" x14ac:dyDescent="0.3">
      <c r="B163" s="3"/>
    </row>
    <row r="164" spans="2:2" ht="14.4" x14ac:dyDescent="0.3">
      <c r="B164" s="3"/>
    </row>
    <row r="165" spans="2:2" ht="14.4" x14ac:dyDescent="0.3">
      <c r="B165" s="3"/>
    </row>
    <row r="166" spans="2:2" ht="14.4" x14ac:dyDescent="0.3">
      <c r="B166" s="3"/>
    </row>
    <row r="167" spans="2:2" ht="14.4" x14ac:dyDescent="0.3">
      <c r="B167" s="3"/>
    </row>
    <row r="168" spans="2:2" ht="14.4" x14ac:dyDescent="0.3">
      <c r="B168" s="3"/>
    </row>
    <row r="169" spans="2:2" ht="14.4" x14ac:dyDescent="0.3">
      <c r="B169" s="3"/>
    </row>
    <row r="170" spans="2:2" ht="14.4" x14ac:dyDescent="0.3">
      <c r="B170" s="3"/>
    </row>
    <row r="171" spans="2:2" ht="14.4" x14ac:dyDescent="0.3">
      <c r="B171" s="3"/>
    </row>
    <row r="172" spans="2:2" ht="14.4" x14ac:dyDescent="0.3">
      <c r="B172" s="3"/>
    </row>
    <row r="173" spans="2:2" ht="14.4" x14ac:dyDescent="0.3">
      <c r="B173" s="3"/>
    </row>
    <row r="174" spans="2:2" ht="14.4" x14ac:dyDescent="0.3">
      <c r="B174" s="3"/>
    </row>
    <row r="175" spans="2:2" ht="14.4" x14ac:dyDescent="0.3">
      <c r="B175" s="3"/>
    </row>
    <row r="176" spans="2:2" ht="14.4" x14ac:dyDescent="0.3">
      <c r="B176" s="3"/>
    </row>
    <row r="177" spans="2:2" ht="14.4" x14ac:dyDescent="0.3">
      <c r="B177" s="3"/>
    </row>
    <row r="178" spans="2:2" ht="14.4" x14ac:dyDescent="0.3">
      <c r="B178" s="3"/>
    </row>
    <row r="179" spans="2:2" ht="14.4" x14ac:dyDescent="0.3">
      <c r="B179" s="3"/>
    </row>
    <row r="180" spans="2:2" ht="14.4" x14ac:dyDescent="0.3">
      <c r="B180" s="3"/>
    </row>
    <row r="181" spans="2:2" ht="14.4" x14ac:dyDescent="0.3">
      <c r="B181" s="3"/>
    </row>
    <row r="182" spans="2:2" ht="14.4" x14ac:dyDescent="0.3">
      <c r="B182" s="3"/>
    </row>
    <row r="183" spans="2:2" ht="14.4" x14ac:dyDescent="0.3">
      <c r="B183" s="3"/>
    </row>
    <row r="184" spans="2:2" ht="14.4" x14ac:dyDescent="0.3">
      <c r="B184" s="3"/>
    </row>
    <row r="185" spans="2:2" ht="14.4" x14ac:dyDescent="0.3">
      <c r="B185" s="3"/>
    </row>
    <row r="186" spans="2:2" ht="14.4" x14ac:dyDescent="0.3">
      <c r="B186" s="3"/>
    </row>
    <row r="187" spans="2:2" ht="14.4" x14ac:dyDescent="0.3">
      <c r="B187" s="3"/>
    </row>
    <row r="188" spans="2:2" ht="14.4" x14ac:dyDescent="0.3">
      <c r="B188" s="3"/>
    </row>
    <row r="189" spans="2:2" ht="14.4" x14ac:dyDescent="0.3">
      <c r="B189" s="3"/>
    </row>
    <row r="190" spans="2:2" ht="14.4" x14ac:dyDescent="0.3">
      <c r="B190" s="3"/>
    </row>
    <row r="191" spans="2:2" ht="14.4" x14ac:dyDescent="0.3">
      <c r="B191" s="3"/>
    </row>
    <row r="192" spans="2:2" ht="14.4" x14ac:dyDescent="0.3">
      <c r="B192" s="3"/>
    </row>
    <row r="193" spans="2:2" ht="14.4" x14ac:dyDescent="0.3">
      <c r="B193" s="3"/>
    </row>
    <row r="194" spans="2:2" ht="14.4" x14ac:dyDescent="0.3">
      <c r="B194" s="3"/>
    </row>
    <row r="195" spans="2:2" ht="14.4" x14ac:dyDescent="0.3">
      <c r="B195" s="3"/>
    </row>
    <row r="196" spans="2:2" ht="14.4" x14ac:dyDescent="0.3">
      <c r="B196" s="3"/>
    </row>
    <row r="197" spans="2:2" ht="14.4" x14ac:dyDescent="0.3">
      <c r="B197" s="3"/>
    </row>
    <row r="198" spans="2:2" ht="14.4" x14ac:dyDescent="0.3">
      <c r="B198" s="3"/>
    </row>
    <row r="199" spans="2:2" ht="14.4" x14ac:dyDescent="0.3">
      <c r="B199" s="3"/>
    </row>
    <row r="200" spans="2:2" ht="14.4" x14ac:dyDescent="0.3">
      <c r="B200" s="3"/>
    </row>
    <row r="201" spans="2:2" ht="14.4" x14ac:dyDescent="0.3">
      <c r="B201" s="3"/>
    </row>
    <row r="202" spans="2:2" ht="14.4" x14ac:dyDescent="0.3">
      <c r="B202" s="3"/>
    </row>
    <row r="203" spans="2:2" ht="14.4" x14ac:dyDescent="0.3">
      <c r="B203" s="3"/>
    </row>
    <row r="204" spans="2:2" ht="14.4" x14ac:dyDescent="0.3">
      <c r="B204" s="3"/>
    </row>
    <row r="205" spans="2:2" ht="14.4" x14ac:dyDescent="0.3">
      <c r="B205" s="3"/>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6"/>
  <sheetViews>
    <sheetView showGridLines="0" workbookViewId="0">
      <selection activeCell="F3" sqref="F3"/>
    </sheetView>
  </sheetViews>
  <sheetFormatPr defaultColWidth="9.109375" defaultRowHeight="24.6" x14ac:dyDescent="0.4"/>
  <cols>
    <col min="1" max="1" width="3.44140625" style="3" customWidth="1"/>
    <col min="2" max="2" width="10.6640625" style="114" bestFit="1" customWidth="1"/>
    <col min="3" max="3" width="9.44140625" style="3" bestFit="1" customWidth="1"/>
    <col min="4" max="4" width="11.6640625" style="3" bestFit="1" customWidth="1"/>
    <col min="5" max="5" width="12.109375" style="3" bestFit="1" customWidth="1"/>
    <col min="6" max="7" width="13.88671875" style="3" bestFit="1" customWidth="1"/>
    <col min="8" max="8" width="12.109375" style="3" bestFit="1" customWidth="1"/>
    <col min="9" max="9" width="10.88671875" style="3" bestFit="1" customWidth="1"/>
    <col min="10" max="10" width="8.109375" style="3" bestFit="1" customWidth="1"/>
    <col min="11" max="26" width="10.33203125" style="3" customWidth="1"/>
    <col min="27" max="29" width="10" style="3" customWidth="1"/>
    <col min="30" max="16384" width="9.109375" style="3"/>
  </cols>
  <sheetData>
    <row r="1" spans="1:12" ht="25.8" x14ac:dyDescent="0.5">
      <c r="A1" s="286" t="s">
        <v>1801</v>
      </c>
      <c r="I1" s="114"/>
      <c r="L1" s="633" t="s">
        <v>3016</v>
      </c>
    </row>
    <row r="2" spans="1:12" ht="25.8" x14ac:dyDescent="0.5">
      <c r="A2" s="286"/>
      <c r="I2" s="114"/>
    </row>
    <row r="3" spans="1:12" ht="18.75" customHeight="1" x14ac:dyDescent="0.5">
      <c r="A3" s="286"/>
      <c r="C3" s="287" t="s">
        <v>1802</v>
      </c>
      <c r="D3" s="288"/>
      <c r="E3" s="288"/>
      <c r="F3" s="289">
        <f>MODE(F10:F78)</f>
        <v>154275.84</v>
      </c>
      <c r="G3" s="289">
        <f t="shared" ref="G3:J3" si="0">MODE(G10:G78)</f>
        <v>143476.5312</v>
      </c>
      <c r="H3" s="289">
        <f t="shared" si="0"/>
        <v>10799.308799999999</v>
      </c>
      <c r="I3" s="290">
        <f t="shared" si="0"/>
        <v>0.255</v>
      </c>
      <c r="J3" s="289">
        <f t="shared" si="0"/>
        <v>9</v>
      </c>
    </row>
    <row r="4" spans="1:12" ht="18.75" customHeight="1" x14ac:dyDescent="0.5">
      <c r="A4" s="286"/>
      <c r="C4" s="291" t="s">
        <v>1799</v>
      </c>
      <c r="D4" s="292"/>
      <c r="E4" s="292"/>
      <c r="F4" s="293">
        <f>MEDIAN(F11:F79)</f>
        <v>91463.039999999994</v>
      </c>
      <c r="G4" s="293">
        <f t="shared" ref="G4:J4" si="1">MEDIAN(G11:G79)</f>
        <v>77847.782399999996</v>
      </c>
      <c r="H4" s="293">
        <f t="shared" si="1"/>
        <v>10799.308799999999</v>
      </c>
      <c r="I4" s="294">
        <f t="shared" si="1"/>
        <v>0.26500000000000001</v>
      </c>
      <c r="J4" s="293">
        <f t="shared" si="1"/>
        <v>5</v>
      </c>
    </row>
    <row r="5" spans="1:12" ht="18.75" customHeight="1" x14ac:dyDescent="0.5">
      <c r="A5" s="115"/>
      <c r="C5" s="176" t="s">
        <v>1796</v>
      </c>
      <c r="F5" s="295">
        <f>MAX(F10:F79)</f>
        <v>1447185.6</v>
      </c>
      <c r="G5" s="295">
        <f t="shared" ref="G5:J5" si="2">MAX(G10:G79)</f>
        <v>1443556</v>
      </c>
      <c r="H5" s="295">
        <f t="shared" si="2"/>
        <v>548108</v>
      </c>
      <c r="I5" s="296">
        <f t="shared" si="2"/>
        <v>0.754</v>
      </c>
      <c r="J5" s="295">
        <f t="shared" si="2"/>
        <v>13</v>
      </c>
    </row>
    <row r="6" spans="1:12" ht="18.75" customHeight="1" x14ac:dyDescent="0.45">
      <c r="A6" s="19"/>
      <c r="B6" s="118"/>
      <c r="C6" s="297" t="s">
        <v>1798</v>
      </c>
      <c r="D6" s="292"/>
      <c r="E6" s="292"/>
      <c r="F6" s="293">
        <f>MIN(F12:F79)</f>
        <v>39600</v>
      </c>
      <c r="G6" s="293">
        <f t="shared" ref="G6:J6" si="3">MIN(G12:G79)</f>
        <v>38016</v>
      </c>
      <c r="H6" s="293">
        <f t="shared" si="3"/>
        <v>-924076</v>
      </c>
      <c r="I6" s="294">
        <f t="shared" si="3"/>
        <v>0.13400000000000001</v>
      </c>
      <c r="J6" s="293">
        <f t="shared" si="3"/>
        <v>0</v>
      </c>
    </row>
    <row r="8" spans="1:12" ht="17.399999999999999" x14ac:dyDescent="0.3">
      <c r="B8" s="119" t="s">
        <v>1770</v>
      </c>
      <c r="C8" s="120"/>
      <c r="D8" s="120"/>
      <c r="E8" s="120"/>
      <c r="F8" s="121"/>
      <c r="G8" s="121"/>
      <c r="H8" s="121"/>
      <c r="I8" s="120"/>
      <c r="J8" s="122"/>
    </row>
    <row r="9" spans="1:12" ht="17.399999999999999" x14ac:dyDescent="0.3">
      <c r="B9" s="274" t="s">
        <v>3012</v>
      </c>
      <c r="C9" s="124"/>
      <c r="D9" s="124"/>
      <c r="E9" s="124"/>
      <c r="F9" s="125"/>
      <c r="G9" s="125"/>
      <c r="H9" s="125"/>
      <c r="I9" s="124"/>
      <c r="J9" s="126"/>
    </row>
    <row r="10" spans="1:12" ht="17.399999999999999" hidden="1" x14ac:dyDescent="0.3">
      <c r="B10" s="127"/>
      <c r="C10" s="128"/>
      <c r="D10" s="128"/>
      <c r="E10" s="128"/>
      <c r="F10" s="129"/>
      <c r="G10" s="129"/>
      <c r="H10" s="129"/>
      <c r="I10" s="128"/>
    </row>
    <row r="11" spans="1:12" s="142" customFormat="1" ht="39" customHeight="1" thickBot="1" x14ac:dyDescent="0.35">
      <c r="B11" s="298" t="s">
        <v>1768</v>
      </c>
      <c r="C11" s="298" t="s">
        <v>176</v>
      </c>
      <c r="D11" s="298" t="s">
        <v>175</v>
      </c>
      <c r="E11" s="298" t="s">
        <v>264</v>
      </c>
      <c r="F11" s="299" t="s">
        <v>1771</v>
      </c>
      <c r="G11" s="299" t="s">
        <v>1772</v>
      </c>
      <c r="H11" s="300" t="s">
        <v>1773</v>
      </c>
      <c r="I11" s="301" t="s">
        <v>1774</v>
      </c>
      <c r="J11" s="301" t="s">
        <v>1775</v>
      </c>
    </row>
    <row r="12" spans="1:12" s="142" customFormat="1" ht="18" customHeight="1" x14ac:dyDescent="0.3">
      <c r="B12" s="164" t="s">
        <v>1769</v>
      </c>
      <c r="C12" s="164" t="s">
        <v>1776</v>
      </c>
      <c r="D12" s="164" t="s">
        <v>1777</v>
      </c>
      <c r="E12" s="164" t="s">
        <v>1779</v>
      </c>
      <c r="F12" s="302">
        <v>154275.84</v>
      </c>
      <c r="G12" s="302">
        <v>143476.5312</v>
      </c>
      <c r="H12" s="302">
        <f t="shared" ref="H12:H43" si="4">F12-G12</f>
        <v>10799.308799999999</v>
      </c>
      <c r="I12" s="303">
        <v>0.64300000000000002</v>
      </c>
      <c r="J12" s="304">
        <v>9</v>
      </c>
    </row>
    <row r="13" spans="1:12" s="142" customFormat="1" ht="18" customHeight="1" x14ac:dyDescent="0.3">
      <c r="B13" s="164" t="s">
        <v>1769</v>
      </c>
      <c r="C13" s="164" t="s">
        <v>1776</v>
      </c>
      <c r="D13" s="164" t="s">
        <v>1781</v>
      </c>
      <c r="E13" s="164" t="s">
        <v>1779</v>
      </c>
      <c r="F13" s="302">
        <v>57024</v>
      </c>
      <c r="G13" s="302">
        <v>54743.040000000001</v>
      </c>
      <c r="H13" s="302">
        <f t="shared" si="4"/>
        <v>2280.9599999999991</v>
      </c>
      <c r="I13" s="303">
        <v>0.59199999999999997</v>
      </c>
      <c r="J13" s="304">
        <v>8</v>
      </c>
    </row>
    <row r="14" spans="1:12" s="142" customFormat="1" ht="18" customHeight="1" x14ac:dyDescent="0.3">
      <c r="B14" s="164" t="s">
        <v>1769</v>
      </c>
      <c r="C14" s="164" t="s">
        <v>1776</v>
      </c>
      <c r="D14" s="164" t="s">
        <v>1781</v>
      </c>
      <c r="E14" s="164" t="s">
        <v>1779</v>
      </c>
      <c r="F14" s="302">
        <v>69465.600000000006</v>
      </c>
      <c r="G14" s="302">
        <v>66686.975999999995</v>
      </c>
      <c r="H14" s="302">
        <f t="shared" si="4"/>
        <v>2778.6240000000107</v>
      </c>
      <c r="I14" s="303">
        <v>0.41199999999999998</v>
      </c>
      <c r="J14" s="304">
        <v>9</v>
      </c>
    </row>
    <row r="15" spans="1:12" s="142" customFormat="1" ht="18" customHeight="1" x14ac:dyDescent="0.3">
      <c r="B15" s="164" t="s">
        <v>1769</v>
      </c>
      <c r="C15" s="164" t="s">
        <v>1776</v>
      </c>
      <c r="D15" s="164" t="s">
        <v>1777</v>
      </c>
      <c r="E15" s="164" t="s">
        <v>1779</v>
      </c>
      <c r="F15" s="302">
        <v>91463.039999999994</v>
      </c>
      <c r="G15" s="302">
        <v>72255.801599999992</v>
      </c>
      <c r="H15" s="302">
        <f t="shared" si="4"/>
        <v>19207.238400000002</v>
      </c>
      <c r="I15" s="303">
        <v>0.35599999999999998</v>
      </c>
      <c r="J15" s="304">
        <v>8</v>
      </c>
    </row>
    <row r="16" spans="1:12" s="142" customFormat="1" ht="18" customHeight="1" x14ac:dyDescent="0.3">
      <c r="B16" s="164" t="s">
        <v>1769</v>
      </c>
      <c r="C16" s="164" t="s">
        <v>1776</v>
      </c>
      <c r="D16" s="164" t="s">
        <v>1780</v>
      </c>
      <c r="E16" s="164" t="s">
        <v>1779</v>
      </c>
      <c r="F16" s="302">
        <v>94936.320000000007</v>
      </c>
      <c r="G16" s="302">
        <v>77847.782399999996</v>
      </c>
      <c r="H16" s="302">
        <f t="shared" si="4"/>
        <v>17088.537600000011</v>
      </c>
      <c r="I16" s="303">
        <v>0.52900000000000003</v>
      </c>
      <c r="J16" s="304">
        <v>9</v>
      </c>
    </row>
    <row r="17" spans="2:10" s="142" customFormat="1" ht="18" customHeight="1" x14ac:dyDescent="0.3">
      <c r="B17" s="164" t="s">
        <v>1769</v>
      </c>
      <c r="C17" s="164" t="s">
        <v>1776</v>
      </c>
      <c r="D17" s="164" t="s">
        <v>1777</v>
      </c>
      <c r="E17" s="164" t="s">
        <v>1778</v>
      </c>
      <c r="F17" s="302">
        <v>356040</v>
      </c>
      <c r="G17" s="302">
        <v>259909.2</v>
      </c>
      <c r="H17" s="302">
        <f t="shared" si="4"/>
        <v>96130.799999999988</v>
      </c>
      <c r="I17" s="303">
        <v>0.255</v>
      </c>
      <c r="J17" s="304">
        <v>2</v>
      </c>
    </row>
    <row r="18" spans="2:10" s="142" customFormat="1" ht="18" customHeight="1" x14ac:dyDescent="0.3">
      <c r="B18" s="164" t="s">
        <v>1769</v>
      </c>
      <c r="C18" s="164" t="s">
        <v>1776</v>
      </c>
      <c r="D18" s="164" t="s">
        <v>1777</v>
      </c>
      <c r="E18" s="164" t="s">
        <v>1778</v>
      </c>
      <c r="F18" s="302">
        <v>113923.584</v>
      </c>
      <c r="G18" s="302">
        <v>93417.338879999996</v>
      </c>
      <c r="H18" s="302">
        <f t="shared" si="4"/>
        <v>20506.245120000007</v>
      </c>
      <c r="I18" s="303">
        <v>0.255</v>
      </c>
      <c r="J18" s="304">
        <v>6</v>
      </c>
    </row>
    <row r="19" spans="2:10" s="142" customFormat="1" ht="18" customHeight="1" x14ac:dyDescent="0.3">
      <c r="B19" s="164" t="s">
        <v>1769</v>
      </c>
      <c r="C19" s="164" t="s">
        <v>1776</v>
      </c>
      <c r="D19" s="164" t="s">
        <v>1780</v>
      </c>
      <c r="E19" s="164" t="s">
        <v>1778</v>
      </c>
      <c r="F19" s="302">
        <v>90305.279999999999</v>
      </c>
      <c r="G19" s="302">
        <v>70438.118399999992</v>
      </c>
      <c r="H19" s="302">
        <f t="shared" si="4"/>
        <v>19867.161600000007</v>
      </c>
      <c r="I19" s="303">
        <v>0.255</v>
      </c>
      <c r="J19" s="304">
        <v>3</v>
      </c>
    </row>
    <row r="20" spans="2:10" s="142" customFormat="1" ht="18" customHeight="1" x14ac:dyDescent="0.3">
      <c r="B20" s="164" t="s">
        <v>1769</v>
      </c>
      <c r="C20" s="164" t="s">
        <v>1776</v>
      </c>
      <c r="D20" s="164" t="s">
        <v>1777</v>
      </c>
      <c r="E20" s="164" t="s">
        <v>1778</v>
      </c>
      <c r="F20" s="302">
        <v>47520</v>
      </c>
      <c r="G20" s="302">
        <v>45619.199999999997</v>
      </c>
      <c r="H20" s="302">
        <f t="shared" si="4"/>
        <v>1900.8000000000029</v>
      </c>
      <c r="I20" s="303">
        <v>0.247</v>
      </c>
      <c r="J20" s="304">
        <v>6</v>
      </c>
    </row>
    <row r="21" spans="2:10" s="142" customFormat="1" ht="18" customHeight="1" x14ac:dyDescent="0.3">
      <c r="B21" s="164" t="s">
        <v>1769</v>
      </c>
      <c r="C21" s="164" t="s">
        <v>1776</v>
      </c>
      <c r="D21" s="164" t="s">
        <v>1781</v>
      </c>
      <c r="E21" s="164" t="s">
        <v>1778</v>
      </c>
      <c r="F21" s="302">
        <v>261004.79999999999</v>
      </c>
      <c r="G21" s="302">
        <v>221854.07999999999</v>
      </c>
      <c r="H21" s="302">
        <f t="shared" si="4"/>
        <v>39150.720000000001</v>
      </c>
      <c r="I21" s="303">
        <v>0.23300000000000001</v>
      </c>
      <c r="J21" s="304">
        <v>6</v>
      </c>
    </row>
    <row r="22" spans="2:10" s="142" customFormat="1" ht="18" customHeight="1" x14ac:dyDescent="0.3">
      <c r="B22" s="164" t="s">
        <v>1769</v>
      </c>
      <c r="C22" s="164" t="s">
        <v>1776</v>
      </c>
      <c r="D22" s="164" t="s">
        <v>1781</v>
      </c>
      <c r="E22" s="164" t="s">
        <v>1778</v>
      </c>
      <c r="F22" s="302">
        <v>92620.800000000003</v>
      </c>
      <c r="G22" s="302">
        <v>82432.511999999988</v>
      </c>
      <c r="H22" s="302">
        <f t="shared" si="4"/>
        <v>10188.288000000015</v>
      </c>
      <c r="I22" s="303">
        <v>0.187</v>
      </c>
      <c r="J22" s="304">
        <v>3</v>
      </c>
    </row>
    <row r="23" spans="2:10" s="142" customFormat="1" ht="18" customHeight="1" x14ac:dyDescent="0.3">
      <c r="B23" s="164" t="s">
        <v>1769</v>
      </c>
      <c r="C23" s="164" t="s">
        <v>1776</v>
      </c>
      <c r="D23" s="164" t="s">
        <v>1780</v>
      </c>
      <c r="E23" s="164" t="s">
        <v>1779</v>
      </c>
      <c r="F23" s="302">
        <v>394275.84000000003</v>
      </c>
      <c r="G23" s="302">
        <v>366676.53120000003</v>
      </c>
      <c r="H23" s="302">
        <f t="shared" si="4"/>
        <v>27599.308799999999</v>
      </c>
      <c r="I23" s="303">
        <v>0.154</v>
      </c>
      <c r="J23" s="304">
        <v>0</v>
      </c>
    </row>
    <row r="24" spans="2:10" s="142" customFormat="1" ht="18" customHeight="1" x14ac:dyDescent="0.3">
      <c r="B24" s="164" t="s">
        <v>1769</v>
      </c>
      <c r="C24" s="164" t="s">
        <v>1776</v>
      </c>
      <c r="D24" s="164" t="s">
        <v>1780</v>
      </c>
      <c r="E24" s="164" t="s">
        <v>1778</v>
      </c>
      <c r="F24" s="302">
        <v>116121.60000000001</v>
      </c>
      <c r="G24" s="302">
        <v>84768.767999999996</v>
      </c>
      <c r="H24" s="302">
        <f t="shared" si="4"/>
        <v>31352.832000000009</v>
      </c>
      <c r="I24" s="303">
        <v>0.13400000000000001</v>
      </c>
      <c r="J24" s="304">
        <v>3</v>
      </c>
    </row>
    <row r="25" spans="2:10" s="142" customFormat="1" ht="18" customHeight="1" x14ac:dyDescent="0.3">
      <c r="B25" s="164" t="s">
        <v>1782</v>
      </c>
      <c r="C25" s="164" t="s">
        <v>1785</v>
      </c>
      <c r="D25" s="164" t="s">
        <v>1789</v>
      </c>
      <c r="E25" s="164" t="s">
        <v>1779</v>
      </c>
      <c r="F25" s="302">
        <v>91224</v>
      </c>
      <c r="G25" s="302">
        <v>66593.52</v>
      </c>
      <c r="H25" s="302">
        <f t="shared" si="4"/>
        <v>24630.479999999996</v>
      </c>
      <c r="I25" s="303">
        <v>0.65</v>
      </c>
      <c r="J25" s="304">
        <v>6</v>
      </c>
    </row>
    <row r="26" spans="2:10" s="142" customFormat="1" ht="18" customHeight="1" x14ac:dyDescent="0.3">
      <c r="B26" s="164" t="s">
        <v>1782</v>
      </c>
      <c r="C26" s="164" t="s">
        <v>1783</v>
      </c>
      <c r="D26" s="164" t="s">
        <v>1788</v>
      </c>
      <c r="E26" s="164" t="s">
        <v>1778</v>
      </c>
      <c r="F26" s="302">
        <v>76032</v>
      </c>
      <c r="G26" s="302">
        <v>75271.679999999993</v>
      </c>
      <c r="H26" s="302">
        <f t="shared" si="4"/>
        <v>760.32000000000698</v>
      </c>
      <c r="I26" s="303">
        <v>0.623</v>
      </c>
      <c r="J26" s="304">
        <v>0</v>
      </c>
    </row>
    <row r="27" spans="2:10" s="142" customFormat="1" ht="18" customHeight="1" x14ac:dyDescent="0.3">
      <c r="B27" s="164" t="s">
        <v>1782</v>
      </c>
      <c r="C27" s="164" t="s">
        <v>1785</v>
      </c>
      <c r="D27" s="164" t="s">
        <v>1786</v>
      </c>
      <c r="E27" s="164" t="s">
        <v>1779</v>
      </c>
      <c r="F27" s="302">
        <v>121197.6</v>
      </c>
      <c r="G27" s="302">
        <v>112713.76800000001</v>
      </c>
      <c r="H27" s="302">
        <f t="shared" si="4"/>
        <v>8483.8319999999949</v>
      </c>
      <c r="I27" s="303">
        <v>0.45</v>
      </c>
      <c r="J27" s="304">
        <v>13</v>
      </c>
    </row>
    <row r="28" spans="2:10" s="142" customFormat="1" ht="18" customHeight="1" x14ac:dyDescent="0.3">
      <c r="B28" s="164" t="s">
        <v>1782</v>
      </c>
      <c r="C28" s="164" t="s">
        <v>1783</v>
      </c>
      <c r="D28" s="164" t="s">
        <v>1784</v>
      </c>
      <c r="E28" s="164" t="s">
        <v>1779</v>
      </c>
      <c r="F28" s="302">
        <v>181988</v>
      </c>
      <c r="G28" s="302">
        <v>205646.44</v>
      </c>
      <c r="H28" s="302">
        <f t="shared" si="4"/>
        <v>-23658.440000000002</v>
      </c>
      <c r="I28" s="303">
        <v>0.432</v>
      </c>
      <c r="J28" s="304">
        <v>2</v>
      </c>
    </row>
    <row r="29" spans="2:10" s="142" customFormat="1" ht="18" customHeight="1" x14ac:dyDescent="0.3">
      <c r="B29" s="164" t="s">
        <v>1782</v>
      </c>
      <c r="C29" s="164" t="s">
        <v>1785</v>
      </c>
      <c r="D29" s="164" t="s">
        <v>1786</v>
      </c>
      <c r="E29" s="164" t="s">
        <v>1779</v>
      </c>
      <c r="F29" s="302">
        <v>110772</v>
      </c>
      <c r="G29" s="302">
        <v>94156.2</v>
      </c>
      <c r="H29" s="302">
        <f t="shared" si="4"/>
        <v>16615.800000000003</v>
      </c>
      <c r="I29" s="303">
        <v>0.39800000000000002</v>
      </c>
      <c r="J29" s="304">
        <v>9</v>
      </c>
    </row>
    <row r="30" spans="2:10" s="142" customFormat="1" ht="18" customHeight="1" x14ac:dyDescent="0.3">
      <c r="B30" s="164" t="s">
        <v>1782</v>
      </c>
      <c r="C30" s="164" t="s">
        <v>1783</v>
      </c>
      <c r="D30" s="164" t="s">
        <v>1787</v>
      </c>
      <c r="E30" s="164" t="s">
        <v>1778</v>
      </c>
      <c r="F30" s="302">
        <v>128563.2</v>
      </c>
      <c r="G30" s="302">
        <v>119563.776</v>
      </c>
      <c r="H30" s="302">
        <f t="shared" si="4"/>
        <v>8999.4239999999991</v>
      </c>
      <c r="I30" s="303">
        <v>0.39800000000000002</v>
      </c>
      <c r="J30" s="304">
        <v>8</v>
      </c>
    </row>
    <row r="31" spans="2:10" s="142" customFormat="1" ht="18" customHeight="1" x14ac:dyDescent="0.3">
      <c r="B31" s="164" t="s">
        <v>1782</v>
      </c>
      <c r="C31" s="164" t="s">
        <v>1783</v>
      </c>
      <c r="D31" s="164" t="s">
        <v>1784</v>
      </c>
      <c r="E31" s="164" t="s">
        <v>1778</v>
      </c>
      <c r="F31" s="302">
        <v>96768</v>
      </c>
      <c r="G31" s="302">
        <v>70640.639999999999</v>
      </c>
      <c r="H31" s="302">
        <f t="shared" si="4"/>
        <v>26127.360000000001</v>
      </c>
      <c r="I31" s="303">
        <v>0.34499999999999997</v>
      </c>
      <c r="J31" s="304">
        <v>2</v>
      </c>
    </row>
    <row r="32" spans="2:10" s="142" customFormat="1" ht="18" customHeight="1" x14ac:dyDescent="0.3">
      <c r="B32" s="164" t="s">
        <v>1782</v>
      </c>
      <c r="C32" s="164" t="s">
        <v>1785</v>
      </c>
      <c r="D32" s="164" t="s">
        <v>1789</v>
      </c>
      <c r="E32" s="164" t="s">
        <v>1779</v>
      </c>
      <c r="F32" s="302">
        <v>110772</v>
      </c>
      <c r="G32" s="302">
        <v>125172.36</v>
      </c>
      <c r="H32" s="302">
        <f t="shared" si="4"/>
        <v>-14400.36</v>
      </c>
      <c r="I32" s="303">
        <v>0.498</v>
      </c>
      <c r="J32" s="304">
        <v>1</v>
      </c>
    </row>
    <row r="33" spans="2:10" s="142" customFormat="1" ht="18" customHeight="1" x14ac:dyDescent="0.3">
      <c r="B33" s="164" t="s">
        <v>1782</v>
      </c>
      <c r="C33" s="164" t="s">
        <v>1783</v>
      </c>
      <c r="D33" s="164" t="s">
        <v>1784</v>
      </c>
      <c r="E33" s="164" t="s">
        <v>1778</v>
      </c>
      <c r="F33" s="302">
        <v>432900</v>
      </c>
      <c r="G33" s="302">
        <v>367965</v>
      </c>
      <c r="H33" s="302">
        <f t="shared" si="4"/>
        <v>64935</v>
      </c>
      <c r="I33" s="303">
        <v>0.247</v>
      </c>
      <c r="J33" s="304">
        <v>2</v>
      </c>
    </row>
    <row r="34" spans="2:10" s="142" customFormat="1" ht="18" customHeight="1" x14ac:dyDescent="0.3">
      <c r="B34" s="164" t="s">
        <v>1782</v>
      </c>
      <c r="C34" s="164" t="s">
        <v>1785</v>
      </c>
      <c r="D34" s="164" t="s">
        <v>1789</v>
      </c>
      <c r="E34" s="164" t="s">
        <v>1779</v>
      </c>
      <c r="F34" s="302">
        <v>91224</v>
      </c>
      <c r="G34" s="302">
        <v>127713.60000000001</v>
      </c>
      <c r="H34" s="302">
        <f t="shared" si="4"/>
        <v>-36489.600000000006</v>
      </c>
      <c r="I34" s="303">
        <v>0.247</v>
      </c>
      <c r="J34" s="304">
        <v>4</v>
      </c>
    </row>
    <row r="35" spans="2:10" s="142" customFormat="1" ht="18" customHeight="1" x14ac:dyDescent="0.3">
      <c r="B35" s="164" t="s">
        <v>1782</v>
      </c>
      <c r="C35" s="164" t="s">
        <v>1785</v>
      </c>
      <c r="D35" s="164" t="s">
        <v>1789</v>
      </c>
      <c r="E35" s="164" t="s">
        <v>1778</v>
      </c>
      <c r="F35" s="302">
        <v>217504</v>
      </c>
      <c r="G35" s="302">
        <v>184878.4</v>
      </c>
      <c r="H35" s="302">
        <f t="shared" si="4"/>
        <v>32625.600000000006</v>
      </c>
      <c r="I35" s="303">
        <v>0.23300000000000001</v>
      </c>
      <c r="J35" s="304">
        <v>9</v>
      </c>
    </row>
    <row r="36" spans="2:10" s="142" customFormat="1" ht="18" customHeight="1" x14ac:dyDescent="0.3">
      <c r="B36" s="164" t="s">
        <v>1782</v>
      </c>
      <c r="C36" s="164" t="s">
        <v>1783</v>
      </c>
      <c r="D36" s="164" t="s">
        <v>1787</v>
      </c>
      <c r="E36" s="164" t="s">
        <v>1778</v>
      </c>
      <c r="F36" s="302">
        <v>128563.2</v>
      </c>
      <c r="G36" s="302">
        <v>119563.776</v>
      </c>
      <c r="H36" s="302">
        <f t="shared" si="4"/>
        <v>8999.4239999999991</v>
      </c>
      <c r="I36" s="303">
        <v>0.23300000000000001</v>
      </c>
      <c r="J36" s="304">
        <v>1</v>
      </c>
    </row>
    <row r="37" spans="2:10" s="142" customFormat="1" ht="18" customHeight="1" x14ac:dyDescent="0.3">
      <c r="B37" s="164" t="s">
        <v>1782</v>
      </c>
      <c r="C37" s="164" t="s">
        <v>1785</v>
      </c>
      <c r="D37" s="164" t="s">
        <v>1786</v>
      </c>
      <c r="E37" s="164" t="s">
        <v>1779</v>
      </c>
      <c r="F37" s="302">
        <v>121197.6</v>
      </c>
      <c r="G37" s="302">
        <v>112713.76800000001</v>
      </c>
      <c r="H37" s="302">
        <f t="shared" si="4"/>
        <v>8483.8319999999949</v>
      </c>
      <c r="I37" s="303">
        <v>0.23300000000000001</v>
      </c>
      <c r="J37" s="304">
        <v>0</v>
      </c>
    </row>
    <row r="38" spans="2:10" s="142" customFormat="1" ht="18" customHeight="1" x14ac:dyDescent="0.3">
      <c r="B38" s="164" t="s">
        <v>1782</v>
      </c>
      <c r="C38" s="164" t="s">
        <v>1785</v>
      </c>
      <c r="D38" s="164" t="s">
        <v>1789</v>
      </c>
      <c r="E38" s="164" t="s">
        <v>1779</v>
      </c>
      <c r="F38" s="302">
        <v>110772</v>
      </c>
      <c r="G38" s="302">
        <v>125172.36</v>
      </c>
      <c r="H38" s="302">
        <f t="shared" si="4"/>
        <v>-14400.36</v>
      </c>
      <c r="I38" s="303">
        <v>0.23300000000000001</v>
      </c>
      <c r="J38" s="304">
        <v>0</v>
      </c>
    </row>
    <row r="39" spans="2:10" s="142" customFormat="1" ht="18" customHeight="1" x14ac:dyDescent="0.3">
      <c r="B39" s="164" t="s">
        <v>1782</v>
      </c>
      <c r="C39" s="164" t="s">
        <v>1785</v>
      </c>
      <c r="D39" s="164" t="s">
        <v>1789</v>
      </c>
      <c r="E39" s="164" t="s">
        <v>1778</v>
      </c>
      <c r="F39" s="302">
        <v>128563.2</v>
      </c>
      <c r="G39" s="302">
        <v>119563.776</v>
      </c>
      <c r="H39" s="302">
        <f t="shared" si="4"/>
        <v>8999.4239999999991</v>
      </c>
      <c r="I39" s="303">
        <v>0.154</v>
      </c>
      <c r="J39" s="304">
        <v>3</v>
      </c>
    </row>
    <row r="40" spans="2:10" s="142" customFormat="1" ht="18" customHeight="1" x14ac:dyDescent="0.3">
      <c r="B40" s="164" t="s">
        <v>1782</v>
      </c>
      <c r="C40" s="164" t="s">
        <v>1783</v>
      </c>
      <c r="D40" s="164" t="s">
        <v>1784</v>
      </c>
      <c r="E40" s="164" t="s">
        <v>1779</v>
      </c>
      <c r="F40" s="302">
        <v>121197.6</v>
      </c>
      <c r="G40" s="302">
        <v>112713.76800000001</v>
      </c>
      <c r="H40" s="302">
        <f t="shared" si="4"/>
        <v>8483.8319999999949</v>
      </c>
      <c r="I40" s="303">
        <v>0.154</v>
      </c>
      <c r="J40" s="304">
        <v>4</v>
      </c>
    </row>
    <row r="41" spans="2:10" s="142" customFormat="1" ht="18" customHeight="1" x14ac:dyDescent="0.3">
      <c r="B41" s="164" t="s">
        <v>1782</v>
      </c>
      <c r="C41" s="164" t="s">
        <v>1785</v>
      </c>
      <c r="D41" s="164" t="s">
        <v>1789</v>
      </c>
      <c r="E41" s="164" t="s">
        <v>1779</v>
      </c>
      <c r="F41" s="302">
        <v>71676</v>
      </c>
      <c r="G41" s="302">
        <v>70959.240000000005</v>
      </c>
      <c r="H41" s="302">
        <f t="shared" si="4"/>
        <v>716.75999999999476</v>
      </c>
      <c r="I41" s="303">
        <v>0.13400000000000001</v>
      </c>
      <c r="J41" s="304">
        <v>9</v>
      </c>
    </row>
    <row r="42" spans="2:10" s="142" customFormat="1" ht="18" customHeight="1" x14ac:dyDescent="0.3">
      <c r="B42" s="164" t="s">
        <v>1790</v>
      </c>
      <c r="C42" s="164" t="s">
        <v>1776</v>
      </c>
      <c r="D42" s="164" t="s">
        <v>1777</v>
      </c>
      <c r="E42" s="164" t="s">
        <v>1791</v>
      </c>
      <c r="F42" s="302">
        <v>94936.320000000007</v>
      </c>
      <c r="G42" s="302">
        <v>77847.782399999996</v>
      </c>
      <c r="H42" s="302">
        <f t="shared" si="4"/>
        <v>17088.537600000011</v>
      </c>
      <c r="I42" s="303">
        <v>0.57599999999999996</v>
      </c>
      <c r="J42" s="304">
        <v>8</v>
      </c>
    </row>
    <row r="43" spans="2:10" s="142" customFormat="1" ht="18" customHeight="1" x14ac:dyDescent="0.3">
      <c r="B43" s="164" t="s">
        <v>1790</v>
      </c>
      <c r="C43" s="164" t="s">
        <v>1776</v>
      </c>
      <c r="D43" s="164" t="s">
        <v>1780</v>
      </c>
      <c r="E43" s="164" t="s">
        <v>1791</v>
      </c>
      <c r="F43" s="302">
        <v>69465.600000000006</v>
      </c>
      <c r="G43" s="302">
        <v>66686.975999999995</v>
      </c>
      <c r="H43" s="302">
        <f t="shared" si="4"/>
        <v>2778.6240000000107</v>
      </c>
      <c r="I43" s="303">
        <v>0.57299999999999995</v>
      </c>
      <c r="J43" s="304">
        <v>8</v>
      </c>
    </row>
    <row r="44" spans="2:10" s="142" customFormat="1" ht="18" customHeight="1" x14ac:dyDescent="0.3">
      <c r="B44" s="164" t="s">
        <v>1790</v>
      </c>
      <c r="C44" s="164" t="s">
        <v>1776</v>
      </c>
      <c r="D44" s="164" t="s">
        <v>1777</v>
      </c>
      <c r="E44" s="164" t="s">
        <v>1778</v>
      </c>
      <c r="F44" s="302">
        <v>519480</v>
      </c>
      <c r="G44" s="302">
        <v>1443556</v>
      </c>
      <c r="H44" s="302">
        <f t="shared" ref="H44:H75" si="5">F44-G44</f>
        <v>-924076</v>
      </c>
      <c r="I44" s="303">
        <v>0.39800000000000002</v>
      </c>
      <c r="J44" s="304">
        <v>6</v>
      </c>
    </row>
    <row r="45" spans="2:10" s="142" customFormat="1" ht="18" customHeight="1" x14ac:dyDescent="0.3">
      <c r="B45" s="164" t="s">
        <v>1790</v>
      </c>
      <c r="C45" s="164" t="s">
        <v>1776</v>
      </c>
      <c r="D45" s="164" t="s">
        <v>1781</v>
      </c>
      <c r="E45" s="164" t="s">
        <v>1792</v>
      </c>
      <c r="F45" s="302">
        <v>113923.584</v>
      </c>
      <c r="G45" s="302">
        <v>93417.338879999996</v>
      </c>
      <c r="H45" s="302">
        <f t="shared" si="5"/>
        <v>20506.245120000007</v>
      </c>
      <c r="I45" s="303">
        <v>0.35599999999999998</v>
      </c>
      <c r="J45" s="304">
        <v>2</v>
      </c>
    </row>
    <row r="46" spans="2:10" s="142" customFormat="1" ht="18" customHeight="1" x14ac:dyDescent="0.3">
      <c r="B46" s="164" t="s">
        <v>1790</v>
      </c>
      <c r="C46" s="164" t="s">
        <v>1776</v>
      </c>
      <c r="D46" s="164" t="s">
        <v>1780</v>
      </c>
      <c r="E46" s="164" t="s">
        <v>1792</v>
      </c>
      <c r="F46" s="302">
        <v>154275.84</v>
      </c>
      <c r="G46" s="302">
        <v>143476.5312</v>
      </c>
      <c r="H46" s="302">
        <f t="shared" si="5"/>
        <v>10799.308799999999</v>
      </c>
      <c r="I46" s="303">
        <v>0.52200000000000002</v>
      </c>
      <c r="J46" s="304">
        <v>4</v>
      </c>
    </row>
    <row r="47" spans="2:10" s="142" customFormat="1" ht="18" customHeight="1" x14ac:dyDescent="0.3">
      <c r="B47" s="164" t="s">
        <v>1790</v>
      </c>
      <c r="C47" s="164" t="s">
        <v>1776</v>
      </c>
      <c r="D47" s="164" t="s">
        <v>1777</v>
      </c>
      <c r="E47" s="164" t="s">
        <v>1792</v>
      </c>
      <c r="F47" s="302">
        <v>91238.399999999994</v>
      </c>
      <c r="G47" s="302">
        <v>90326.015999999989</v>
      </c>
      <c r="H47" s="302">
        <f t="shared" si="5"/>
        <v>912.38400000000547</v>
      </c>
      <c r="I47" s="303">
        <v>0.315</v>
      </c>
      <c r="J47" s="304">
        <v>9</v>
      </c>
    </row>
    <row r="48" spans="2:10" s="142" customFormat="1" ht="18" customHeight="1" x14ac:dyDescent="0.3">
      <c r="B48" s="164" t="s">
        <v>1790</v>
      </c>
      <c r="C48" s="164" t="s">
        <v>1776</v>
      </c>
      <c r="D48" s="164" t="s">
        <v>1781</v>
      </c>
      <c r="E48" s="164" t="s">
        <v>1791</v>
      </c>
      <c r="F48" s="302">
        <v>91463.039999999994</v>
      </c>
      <c r="G48" s="302">
        <v>72255.801599999992</v>
      </c>
      <c r="H48" s="302">
        <f t="shared" si="5"/>
        <v>19207.238400000002</v>
      </c>
      <c r="I48" s="303">
        <v>0.27600000000000002</v>
      </c>
      <c r="J48" s="304">
        <v>5</v>
      </c>
    </row>
    <row r="49" spans="2:10" s="142" customFormat="1" ht="18" customHeight="1" x14ac:dyDescent="0.3">
      <c r="B49" s="164" t="s">
        <v>1790</v>
      </c>
      <c r="C49" s="164" t="s">
        <v>1776</v>
      </c>
      <c r="D49" s="164" t="s">
        <v>1777</v>
      </c>
      <c r="E49" s="164" t="s">
        <v>1792</v>
      </c>
      <c r="F49" s="302">
        <v>90305.279999999999</v>
      </c>
      <c r="G49" s="302">
        <v>70438.118399999992</v>
      </c>
      <c r="H49" s="302">
        <f t="shared" si="5"/>
        <v>19867.161600000007</v>
      </c>
      <c r="I49" s="305">
        <v>0.26500000000000001</v>
      </c>
      <c r="J49" s="304">
        <v>2</v>
      </c>
    </row>
    <row r="50" spans="2:10" s="142" customFormat="1" ht="18" customHeight="1" x14ac:dyDescent="0.3">
      <c r="B50" s="164" t="s">
        <v>1790</v>
      </c>
      <c r="C50" s="164" t="s">
        <v>1776</v>
      </c>
      <c r="D50" s="164" t="s">
        <v>1780</v>
      </c>
      <c r="E50" s="164" t="s">
        <v>1792</v>
      </c>
      <c r="F50" s="302">
        <v>92620.800000000003</v>
      </c>
      <c r="G50" s="302">
        <v>104661.504</v>
      </c>
      <c r="H50" s="302">
        <f t="shared" si="5"/>
        <v>-12040.703999999998</v>
      </c>
      <c r="I50" s="303">
        <v>0.255</v>
      </c>
      <c r="J50" s="304">
        <v>9</v>
      </c>
    </row>
    <row r="51" spans="2:10" s="142" customFormat="1" ht="18" customHeight="1" x14ac:dyDescent="0.3">
      <c r="B51" s="164" t="s">
        <v>1790</v>
      </c>
      <c r="C51" s="164" t="s">
        <v>1776</v>
      </c>
      <c r="D51" s="164" t="s">
        <v>1781</v>
      </c>
      <c r="E51" s="164" t="s">
        <v>1791</v>
      </c>
      <c r="F51" s="302">
        <v>154275.84</v>
      </c>
      <c r="G51" s="302">
        <v>143476.5312</v>
      </c>
      <c r="H51" s="302">
        <f t="shared" si="5"/>
        <v>10799.308799999999</v>
      </c>
      <c r="I51" s="303">
        <v>0.247</v>
      </c>
      <c r="J51" s="304">
        <v>8</v>
      </c>
    </row>
    <row r="52" spans="2:10" s="142" customFormat="1" ht="18" customHeight="1" x14ac:dyDescent="0.3">
      <c r="B52" s="164" t="s">
        <v>1790</v>
      </c>
      <c r="C52" s="164" t="s">
        <v>1776</v>
      </c>
      <c r="D52" s="164" t="s">
        <v>1781</v>
      </c>
      <c r="E52" s="164" t="s">
        <v>1792</v>
      </c>
      <c r="F52" s="302">
        <v>1447185.6</v>
      </c>
      <c r="G52" s="302">
        <v>975545</v>
      </c>
      <c r="H52" s="302">
        <f t="shared" si="5"/>
        <v>471640.60000000009</v>
      </c>
      <c r="I52" s="303">
        <v>0.23300000000000001</v>
      </c>
      <c r="J52" s="304">
        <v>9</v>
      </c>
    </row>
    <row r="53" spans="2:10" s="142" customFormat="1" ht="18" customHeight="1" x14ac:dyDescent="0.3">
      <c r="B53" s="164" t="s">
        <v>1790</v>
      </c>
      <c r="C53" s="164" t="s">
        <v>1776</v>
      </c>
      <c r="D53" s="164" t="s">
        <v>1780</v>
      </c>
      <c r="E53" s="164" t="s">
        <v>1791</v>
      </c>
      <c r="F53" s="302">
        <v>113923.584</v>
      </c>
      <c r="G53" s="302">
        <v>93417.338879999996</v>
      </c>
      <c r="H53" s="302">
        <f t="shared" si="5"/>
        <v>20506.245120000007</v>
      </c>
      <c r="I53" s="303">
        <v>0.187</v>
      </c>
      <c r="J53" s="304">
        <v>5</v>
      </c>
    </row>
    <row r="54" spans="2:10" s="142" customFormat="1" ht="18" customHeight="1" x14ac:dyDescent="0.3">
      <c r="B54" s="164" t="s">
        <v>1790</v>
      </c>
      <c r="C54" s="164" t="s">
        <v>1776</v>
      </c>
      <c r="D54" s="164" t="s">
        <v>1781</v>
      </c>
      <c r="E54" s="164" t="s">
        <v>1792</v>
      </c>
      <c r="F54" s="302">
        <v>94936.320000000007</v>
      </c>
      <c r="G54" s="302">
        <v>77847.782399999996</v>
      </c>
      <c r="H54" s="302">
        <f t="shared" si="5"/>
        <v>17088.537600000011</v>
      </c>
      <c r="I54" s="303">
        <v>0.13400000000000001</v>
      </c>
      <c r="J54" s="304">
        <v>4</v>
      </c>
    </row>
    <row r="55" spans="2:10" s="142" customFormat="1" ht="18" customHeight="1" x14ac:dyDescent="0.3">
      <c r="B55" s="164" t="s">
        <v>1793</v>
      </c>
      <c r="C55" s="164" t="s">
        <v>1783</v>
      </c>
      <c r="D55" s="164" t="s">
        <v>1784</v>
      </c>
      <c r="E55" s="164" t="s">
        <v>1778</v>
      </c>
      <c r="F55" s="302">
        <v>1205988</v>
      </c>
      <c r="G55" s="302">
        <v>657880</v>
      </c>
      <c r="H55" s="302">
        <f t="shared" si="5"/>
        <v>548108</v>
      </c>
      <c r="I55" s="303">
        <v>0.432</v>
      </c>
      <c r="J55" s="304">
        <v>10</v>
      </c>
    </row>
    <row r="56" spans="2:10" s="142" customFormat="1" ht="18" customHeight="1" x14ac:dyDescent="0.3">
      <c r="B56" s="164" t="s">
        <v>1793</v>
      </c>
      <c r="C56" s="164" t="s">
        <v>1783</v>
      </c>
      <c r="D56" s="164" t="s">
        <v>1784</v>
      </c>
      <c r="E56" s="164" t="s">
        <v>1778</v>
      </c>
      <c r="F56" s="302">
        <f>128563.2+200000</f>
        <v>328563.20000000001</v>
      </c>
      <c r="G56" s="302">
        <v>305563.77600000001</v>
      </c>
      <c r="H56" s="302">
        <f t="shared" si="5"/>
        <v>22999.423999999999</v>
      </c>
      <c r="I56" s="305">
        <v>0.39800000000000002</v>
      </c>
      <c r="J56" s="304">
        <v>3</v>
      </c>
    </row>
    <row r="57" spans="2:10" s="142" customFormat="1" ht="18" customHeight="1" x14ac:dyDescent="0.3">
      <c r="B57" s="164" t="s">
        <v>1794</v>
      </c>
      <c r="C57" s="164" t="s">
        <v>1785</v>
      </c>
      <c r="D57" s="164" t="s">
        <v>1789</v>
      </c>
      <c r="E57" s="164" t="s">
        <v>1791</v>
      </c>
      <c r="F57" s="302">
        <v>54120</v>
      </c>
      <c r="G57" s="302">
        <v>44378.400000000001</v>
      </c>
      <c r="H57" s="302">
        <f t="shared" si="5"/>
        <v>9741.5999999999985</v>
      </c>
      <c r="I57" s="303">
        <v>0.54300000000000004</v>
      </c>
      <c r="J57" s="304">
        <v>3</v>
      </c>
    </row>
    <row r="58" spans="2:10" s="142" customFormat="1" ht="18" customHeight="1" x14ac:dyDescent="0.3">
      <c r="B58" s="164" t="s">
        <v>1794</v>
      </c>
      <c r="C58" s="164" t="s">
        <v>1783</v>
      </c>
      <c r="D58" s="164" t="s">
        <v>1784</v>
      </c>
      <c r="E58" s="164" t="s">
        <v>1791</v>
      </c>
      <c r="F58" s="302">
        <v>39600</v>
      </c>
      <c r="G58" s="302">
        <v>38016</v>
      </c>
      <c r="H58" s="302">
        <f t="shared" si="5"/>
        <v>1584</v>
      </c>
      <c r="I58" s="303">
        <v>0.61199999999999999</v>
      </c>
      <c r="J58" s="304">
        <v>2</v>
      </c>
    </row>
    <row r="59" spans="2:10" s="142" customFormat="1" ht="18" customHeight="1" x14ac:dyDescent="0.3">
      <c r="B59" s="164" t="s">
        <v>1794</v>
      </c>
      <c r="C59" s="164" t="s">
        <v>1785</v>
      </c>
      <c r="D59" s="164" t="s">
        <v>1786</v>
      </c>
      <c r="E59" s="164" t="s">
        <v>1792</v>
      </c>
      <c r="F59" s="302">
        <v>77184</v>
      </c>
      <c r="G59" s="302">
        <v>87217.919999999998</v>
      </c>
      <c r="H59" s="302">
        <f t="shared" si="5"/>
        <v>-10033.919999999998</v>
      </c>
      <c r="I59" s="303">
        <v>0.34399999999999997</v>
      </c>
      <c r="J59" s="304">
        <v>5</v>
      </c>
    </row>
    <row r="60" spans="2:10" s="142" customFormat="1" ht="18" customHeight="1" x14ac:dyDescent="0.3">
      <c r="B60" s="164" t="s">
        <v>1794</v>
      </c>
      <c r="C60" s="164" t="s">
        <v>1785</v>
      </c>
      <c r="D60" s="164" t="s">
        <v>1786</v>
      </c>
      <c r="E60" s="164" t="s">
        <v>1792</v>
      </c>
      <c r="F60" s="302">
        <v>76219.199999999997</v>
      </c>
      <c r="G60" s="302">
        <v>60213.167999999998</v>
      </c>
      <c r="H60" s="302">
        <f t="shared" si="5"/>
        <v>16006.031999999999</v>
      </c>
      <c r="I60" s="303">
        <v>0.754</v>
      </c>
      <c r="J60" s="304">
        <v>1</v>
      </c>
    </row>
    <row r="61" spans="2:10" s="142" customFormat="1" ht="18" customHeight="1" x14ac:dyDescent="0.3">
      <c r="B61" s="164" t="s">
        <v>1794</v>
      </c>
      <c r="C61" s="164" t="s">
        <v>1783</v>
      </c>
      <c r="D61" s="164" t="s">
        <v>1784</v>
      </c>
      <c r="E61" s="164" t="s">
        <v>1792</v>
      </c>
      <c r="F61" s="302">
        <v>79113.600000000006</v>
      </c>
      <c r="G61" s="302">
        <v>64873.152000000002</v>
      </c>
      <c r="H61" s="302">
        <f t="shared" si="5"/>
        <v>14240.448000000004</v>
      </c>
      <c r="I61" s="303">
        <v>0.435</v>
      </c>
      <c r="J61" s="304">
        <v>6</v>
      </c>
    </row>
    <row r="62" spans="2:10" s="142" customFormat="1" ht="18" customHeight="1" x14ac:dyDescent="0.3">
      <c r="B62" s="164" t="s">
        <v>1794</v>
      </c>
      <c r="C62" s="164" t="s">
        <v>1785</v>
      </c>
      <c r="D62" s="164" t="s">
        <v>1789</v>
      </c>
      <c r="E62" s="164" t="s">
        <v>1791</v>
      </c>
      <c r="F62" s="302">
        <v>39600</v>
      </c>
      <c r="G62" s="302">
        <v>38016</v>
      </c>
      <c r="H62" s="302">
        <f t="shared" si="5"/>
        <v>1584</v>
      </c>
      <c r="I62" s="303">
        <v>0.56299999999999994</v>
      </c>
      <c r="J62" s="304">
        <v>8</v>
      </c>
    </row>
    <row r="63" spans="2:10" s="142" customFormat="1" ht="18" customHeight="1" x14ac:dyDescent="0.3">
      <c r="B63" s="164" t="s">
        <v>1794</v>
      </c>
      <c r="C63" s="164" t="s">
        <v>1783</v>
      </c>
      <c r="D63" s="164" t="s">
        <v>1784</v>
      </c>
      <c r="E63" s="164" t="s">
        <v>1779</v>
      </c>
      <c r="F63" s="302">
        <v>71676</v>
      </c>
      <c r="G63" s="302">
        <v>70959.240000000005</v>
      </c>
      <c r="H63" s="302">
        <f t="shared" si="5"/>
        <v>716.75999999999476</v>
      </c>
      <c r="I63" s="303">
        <v>0.23400000000000001</v>
      </c>
      <c r="J63" s="304">
        <v>1</v>
      </c>
    </row>
    <row r="64" spans="2:10" s="142" customFormat="1" ht="18" customHeight="1" x14ac:dyDescent="0.3">
      <c r="B64" s="164" t="s">
        <v>1794</v>
      </c>
      <c r="C64" s="164" t="s">
        <v>1783</v>
      </c>
      <c r="D64" s="164" t="s">
        <v>1787</v>
      </c>
      <c r="E64" s="164" t="s">
        <v>1792</v>
      </c>
      <c r="F64" s="302">
        <v>75254.399999999994</v>
      </c>
      <c r="G64" s="302">
        <v>58698.432000000001</v>
      </c>
      <c r="H64" s="302">
        <f t="shared" si="5"/>
        <v>16555.967999999993</v>
      </c>
      <c r="I64" s="303">
        <v>0.35599999999999998</v>
      </c>
      <c r="J64" s="304">
        <v>5</v>
      </c>
    </row>
    <row r="65" spans="2:10" s="142" customFormat="1" ht="18" customHeight="1" x14ac:dyDescent="0.3">
      <c r="B65" s="164" t="s">
        <v>1794</v>
      </c>
      <c r="C65" s="164" t="s">
        <v>1785</v>
      </c>
      <c r="D65" s="164" t="s">
        <v>1786</v>
      </c>
      <c r="E65" s="164" t="s">
        <v>1791</v>
      </c>
      <c r="F65" s="302">
        <v>52140</v>
      </c>
      <c r="G65" s="302">
        <v>41190.6</v>
      </c>
      <c r="H65" s="302">
        <f t="shared" si="5"/>
        <v>10949.400000000001</v>
      </c>
      <c r="I65" s="303">
        <v>0.35599999999999998</v>
      </c>
      <c r="J65" s="304">
        <v>5</v>
      </c>
    </row>
    <row r="66" spans="2:10" s="142" customFormat="1" ht="18" customHeight="1" x14ac:dyDescent="0.3">
      <c r="B66" s="164" t="s">
        <v>1794</v>
      </c>
      <c r="C66" s="164" t="s">
        <v>1785</v>
      </c>
      <c r="D66" s="164" t="s">
        <v>1789</v>
      </c>
      <c r="E66" s="164" t="s">
        <v>1791</v>
      </c>
      <c r="F66" s="302">
        <v>54120</v>
      </c>
      <c r="G66" s="302">
        <v>44378.400000000001</v>
      </c>
      <c r="H66" s="302">
        <f t="shared" si="5"/>
        <v>9741.5999999999985</v>
      </c>
      <c r="I66" s="303">
        <v>0.377</v>
      </c>
      <c r="J66" s="304">
        <v>8</v>
      </c>
    </row>
    <row r="67" spans="2:10" s="142" customFormat="1" ht="18" customHeight="1" x14ac:dyDescent="0.3">
      <c r="B67" s="164" t="s">
        <v>1794</v>
      </c>
      <c r="C67" s="164" t="s">
        <v>1783</v>
      </c>
      <c r="D67" s="164" t="s">
        <v>1784</v>
      </c>
      <c r="E67" s="164" t="s">
        <v>1792</v>
      </c>
      <c r="F67" s="302">
        <v>57888</v>
      </c>
      <c r="G67" s="302">
        <v>55572.480000000003</v>
      </c>
      <c r="H67" s="302">
        <f t="shared" si="5"/>
        <v>2315.5199999999968</v>
      </c>
      <c r="I67" s="303">
        <v>0.245</v>
      </c>
      <c r="J67" s="304">
        <v>5</v>
      </c>
    </row>
    <row r="68" spans="2:10" s="142" customFormat="1" ht="18" customHeight="1" x14ac:dyDescent="0.3">
      <c r="B68" s="164" t="s">
        <v>1794</v>
      </c>
      <c r="C68" s="164" t="s">
        <v>1783</v>
      </c>
      <c r="D68" s="164" t="s">
        <v>1784</v>
      </c>
      <c r="E68" s="164" t="s">
        <v>1792</v>
      </c>
      <c r="F68" s="302">
        <v>79113.600000000006</v>
      </c>
      <c r="G68" s="302">
        <v>64873.152000000002</v>
      </c>
      <c r="H68" s="302">
        <f t="shared" si="5"/>
        <v>14240.448000000004</v>
      </c>
      <c r="I68" s="303">
        <v>0.27600000000000002</v>
      </c>
      <c r="J68" s="304">
        <v>0</v>
      </c>
    </row>
    <row r="69" spans="2:10" s="142" customFormat="1" ht="18" customHeight="1" x14ac:dyDescent="0.3">
      <c r="B69" s="164" t="s">
        <v>1794</v>
      </c>
      <c r="C69" s="164" t="s">
        <v>1785</v>
      </c>
      <c r="D69" s="164" t="s">
        <v>1786</v>
      </c>
      <c r="E69" s="164" t="s">
        <v>1791</v>
      </c>
      <c r="F69" s="302">
        <v>52140</v>
      </c>
      <c r="G69" s="302">
        <v>41190.6</v>
      </c>
      <c r="H69" s="302">
        <f t="shared" si="5"/>
        <v>10949.400000000001</v>
      </c>
      <c r="I69" s="303">
        <v>0.27600000000000002</v>
      </c>
      <c r="J69" s="304">
        <v>6</v>
      </c>
    </row>
    <row r="70" spans="2:10" s="142" customFormat="1" ht="18" customHeight="1" x14ac:dyDescent="0.3">
      <c r="B70" s="164" t="s">
        <v>1794</v>
      </c>
      <c r="C70" s="164" t="s">
        <v>1783</v>
      </c>
      <c r="D70" s="164" t="s">
        <v>1787</v>
      </c>
      <c r="E70" s="164" t="s">
        <v>1792</v>
      </c>
      <c r="F70" s="302">
        <v>76219.199999999997</v>
      </c>
      <c r="G70" s="302">
        <v>60213.167999999998</v>
      </c>
      <c r="H70" s="302">
        <f t="shared" si="5"/>
        <v>16006.031999999999</v>
      </c>
      <c r="I70" s="303">
        <v>0.26500000000000001</v>
      </c>
      <c r="J70" s="304">
        <v>7</v>
      </c>
    </row>
    <row r="71" spans="2:10" s="142" customFormat="1" ht="18" customHeight="1" x14ac:dyDescent="0.3">
      <c r="B71" s="164" t="s">
        <v>1794</v>
      </c>
      <c r="C71" s="164" t="s">
        <v>1783</v>
      </c>
      <c r="D71" s="164" t="s">
        <v>1784</v>
      </c>
      <c r="E71" s="164" t="s">
        <v>1791</v>
      </c>
      <c r="F71" s="302">
        <v>51480</v>
      </c>
      <c r="G71" s="302">
        <v>58172.4</v>
      </c>
      <c r="H71" s="302">
        <f t="shared" si="5"/>
        <v>-6692.4000000000015</v>
      </c>
      <c r="I71" s="305">
        <v>0.26500000000000001</v>
      </c>
      <c r="J71" s="304">
        <v>9</v>
      </c>
    </row>
    <row r="72" spans="2:10" s="142" customFormat="1" ht="18" customHeight="1" x14ac:dyDescent="0.3">
      <c r="B72" s="164" t="s">
        <v>1794</v>
      </c>
      <c r="C72" s="164" t="s">
        <v>1785</v>
      </c>
      <c r="D72" s="164" t="s">
        <v>1786</v>
      </c>
      <c r="E72" s="164" t="s">
        <v>1792</v>
      </c>
      <c r="F72" s="302">
        <v>75254.399999999994</v>
      </c>
      <c r="G72" s="302">
        <v>58698.432000000001</v>
      </c>
      <c r="H72" s="302">
        <f t="shared" si="5"/>
        <v>16555.967999999993</v>
      </c>
      <c r="I72" s="303">
        <v>0.255</v>
      </c>
      <c r="J72" s="304">
        <v>9</v>
      </c>
    </row>
    <row r="73" spans="2:10" s="142" customFormat="1" ht="18" customHeight="1" x14ac:dyDescent="0.3">
      <c r="B73" s="164" t="s">
        <v>1794</v>
      </c>
      <c r="C73" s="164" t="s">
        <v>1785</v>
      </c>
      <c r="D73" s="164" t="s">
        <v>1789</v>
      </c>
      <c r="E73" s="164" t="s">
        <v>1792</v>
      </c>
      <c r="F73" s="302">
        <v>79113.600000000006</v>
      </c>
      <c r="G73" s="302">
        <v>64873.152000000002</v>
      </c>
      <c r="H73" s="302">
        <f t="shared" si="5"/>
        <v>14240.448000000004</v>
      </c>
      <c r="I73" s="303">
        <v>0.255</v>
      </c>
      <c r="J73" s="304">
        <v>9</v>
      </c>
    </row>
    <row r="74" spans="2:10" s="142" customFormat="1" ht="18" customHeight="1" x14ac:dyDescent="0.3">
      <c r="B74" s="164" t="s">
        <v>1794</v>
      </c>
      <c r="C74" s="164" t="s">
        <v>1785</v>
      </c>
      <c r="D74" s="164" t="s">
        <v>1789</v>
      </c>
      <c r="E74" s="164" t="s">
        <v>1791</v>
      </c>
      <c r="F74" s="302">
        <v>51480</v>
      </c>
      <c r="G74" s="302">
        <v>40154.400000000001</v>
      </c>
      <c r="H74" s="302">
        <f t="shared" si="5"/>
        <v>11325.599999999999</v>
      </c>
      <c r="I74" s="303">
        <v>0.255</v>
      </c>
      <c r="J74" s="304">
        <v>2</v>
      </c>
    </row>
    <row r="75" spans="2:10" s="142" customFormat="1" ht="18" customHeight="1" x14ac:dyDescent="0.3">
      <c r="B75" s="164" t="s">
        <v>1794</v>
      </c>
      <c r="C75" s="164" t="s">
        <v>1785</v>
      </c>
      <c r="D75" s="164" t="s">
        <v>1786</v>
      </c>
      <c r="E75" s="164" t="s">
        <v>1792</v>
      </c>
      <c r="F75" s="302">
        <v>77184</v>
      </c>
      <c r="G75" s="302">
        <v>68693.759999999995</v>
      </c>
      <c r="H75" s="302">
        <f t="shared" si="5"/>
        <v>8490.2400000000052</v>
      </c>
      <c r="I75" s="303">
        <v>0.255</v>
      </c>
      <c r="J75" s="304">
        <v>5</v>
      </c>
    </row>
    <row r="76" spans="2:10" s="142" customFormat="1" ht="18" customHeight="1" x14ac:dyDescent="0.3">
      <c r="B76" s="164" t="s">
        <v>1794</v>
      </c>
      <c r="C76" s="164" t="s">
        <v>1785</v>
      </c>
      <c r="D76" s="164" t="s">
        <v>1786</v>
      </c>
      <c r="E76" s="164" t="s">
        <v>1791</v>
      </c>
      <c r="F76" s="302">
        <v>52800</v>
      </c>
      <c r="G76" s="302">
        <v>59664</v>
      </c>
      <c r="H76" s="302">
        <f t="shared" ref="H76:H79" si="6">F76-G76</f>
        <v>-6864</v>
      </c>
      <c r="I76" s="303">
        <v>0.255</v>
      </c>
      <c r="J76" s="304">
        <v>8</v>
      </c>
    </row>
    <row r="77" spans="2:10" s="142" customFormat="1" ht="18" customHeight="1" x14ac:dyDescent="0.3">
      <c r="B77" s="164" t="s">
        <v>1794</v>
      </c>
      <c r="C77" s="164" t="s">
        <v>1783</v>
      </c>
      <c r="D77" s="164" t="s">
        <v>1787</v>
      </c>
      <c r="E77" s="164" t="s">
        <v>1778</v>
      </c>
      <c r="F77" s="302">
        <v>296700</v>
      </c>
      <c r="G77" s="302">
        <v>216591</v>
      </c>
      <c r="H77" s="302">
        <f t="shared" si="6"/>
        <v>80109</v>
      </c>
      <c r="I77" s="303">
        <v>0.23300000000000001</v>
      </c>
      <c r="J77" s="304">
        <v>1</v>
      </c>
    </row>
    <row r="78" spans="2:10" s="142" customFormat="1" ht="18" customHeight="1" x14ac:dyDescent="0.3">
      <c r="B78" s="164" t="s">
        <v>1794</v>
      </c>
      <c r="C78" s="164" t="s">
        <v>1783</v>
      </c>
      <c r="D78" s="164" t="s">
        <v>1787</v>
      </c>
      <c r="E78" s="164" t="s">
        <v>1791</v>
      </c>
      <c r="F78" s="302">
        <v>52800</v>
      </c>
      <c r="G78" s="302">
        <v>46992</v>
      </c>
      <c r="H78" s="302">
        <f t="shared" si="6"/>
        <v>5808</v>
      </c>
      <c r="I78" s="303">
        <v>0.187</v>
      </c>
      <c r="J78" s="304">
        <v>9</v>
      </c>
    </row>
    <row r="79" spans="2:10" s="142" customFormat="1" ht="18" customHeight="1" x14ac:dyDescent="0.3">
      <c r="B79" s="164" t="s">
        <v>1794</v>
      </c>
      <c r="C79" s="164" t="s">
        <v>1783</v>
      </c>
      <c r="D79" s="164" t="s">
        <v>1784</v>
      </c>
      <c r="E79" s="164" t="s">
        <v>1792</v>
      </c>
      <c r="F79" s="302">
        <v>57888</v>
      </c>
      <c r="G79" s="302">
        <v>55572.480000000003</v>
      </c>
      <c r="H79" s="302">
        <f t="shared" si="6"/>
        <v>2315.5199999999968</v>
      </c>
      <c r="I79" s="303">
        <v>0.187</v>
      </c>
      <c r="J79" s="304">
        <v>3</v>
      </c>
    </row>
    <row r="80" spans="2:10" s="309" customFormat="1" ht="18" customHeight="1" x14ac:dyDescent="0.3">
      <c r="B80" s="188"/>
      <c r="C80" s="188"/>
      <c r="D80" s="188"/>
      <c r="E80" s="188"/>
      <c r="F80" s="306"/>
      <c r="G80" s="306"/>
      <c r="H80" s="306"/>
      <c r="I80" s="307"/>
      <c r="J80" s="308"/>
    </row>
    <row r="81" spans="2:2" s="142" customFormat="1" ht="15.6" x14ac:dyDescent="0.3"/>
    <row r="82" spans="2:2" s="142" customFormat="1" ht="15.6" x14ac:dyDescent="0.3"/>
    <row r="83" spans="2:2" s="142" customFormat="1" ht="15.6" x14ac:dyDescent="0.3"/>
    <row r="84" spans="2:2" s="142" customFormat="1" ht="15.6" x14ac:dyDescent="0.3"/>
    <row r="85" spans="2:2" s="142" customFormat="1" ht="15.6" x14ac:dyDescent="0.3"/>
    <row r="86" spans="2:2" s="142" customFormat="1" ht="15.6" x14ac:dyDescent="0.3"/>
    <row r="87" spans="2:2" s="142" customFormat="1" ht="15.6" x14ac:dyDescent="0.3"/>
    <row r="88" spans="2:2" s="142" customFormat="1" ht="15.6" x14ac:dyDescent="0.3"/>
    <row r="89" spans="2:2" s="142" customFormat="1" ht="15.6" x14ac:dyDescent="0.3"/>
    <row r="90" spans="2:2" s="142" customFormat="1" ht="15.6" x14ac:dyDescent="0.3"/>
    <row r="91" spans="2:2" s="142" customFormat="1" ht="15.6" x14ac:dyDescent="0.3"/>
    <row r="92" spans="2:2" s="142" customFormat="1" ht="15.6" x14ac:dyDescent="0.3"/>
    <row r="93" spans="2:2" s="142" customFormat="1" ht="15.6" x14ac:dyDescent="0.3"/>
    <row r="94" spans="2:2" s="142" customFormat="1" ht="15.6" x14ac:dyDescent="0.3"/>
    <row r="95" spans="2:2" ht="14.4" x14ac:dyDescent="0.3">
      <c r="B95" s="3"/>
    </row>
    <row r="96" spans="2:2" ht="14.4" x14ac:dyDescent="0.3">
      <c r="B96" s="3"/>
    </row>
    <row r="97" spans="2:2" ht="14.4" x14ac:dyDescent="0.3">
      <c r="B97" s="3"/>
    </row>
    <row r="98" spans="2:2" ht="14.4" x14ac:dyDescent="0.3">
      <c r="B98" s="3"/>
    </row>
    <row r="99" spans="2:2" ht="14.4" x14ac:dyDescent="0.3">
      <c r="B99" s="3"/>
    </row>
    <row r="100" spans="2:2" ht="14.4" x14ac:dyDescent="0.3">
      <c r="B100" s="3"/>
    </row>
    <row r="101" spans="2:2" ht="14.4" x14ac:dyDescent="0.3">
      <c r="B101" s="3"/>
    </row>
    <row r="102" spans="2:2" ht="14.4" x14ac:dyDescent="0.3">
      <c r="B102" s="3"/>
    </row>
    <row r="103" spans="2:2" ht="14.4" x14ac:dyDescent="0.3">
      <c r="B103" s="3"/>
    </row>
    <row r="104" spans="2:2" ht="14.4" x14ac:dyDescent="0.3">
      <c r="B104" s="3"/>
    </row>
    <row r="105" spans="2:2" ht="14.4" x14ac:dyDescent="0.3">
      <c r="B105" s="3"/>
    </row>
    <row r="106" spans="2:2" ht="14.4" x14ac:dyDescent="0.3">
      <c r="B106" s="3"/>
    </row>
    <row r="107" spans="2:2" ht="14.4" x14ac:dyDescent="0.3">
      <c r="B107" s="3"/>
    </row>
    <row r="108" spans="2:2" ht="14.4" x14ac:dyDescent="0.3">
      <c r="B108" s="3"/>
    </row>
    <row r="109" spans="2:2" ht="14.4" x14ac:dyDescent="0.3">
      <c r="B109" s="3"/>
    </row>
    <row r="110" spans="2:2" ht="14.4" x14ac:dyDescent="0.3">
      <c r="B110" s="3"/>
    </row>
    <row r="111" spans="2:2" ht="14.4" x14ac:dyDescent="0.3">
      <c r="B111" s="3"/>
    </row>
    <row r="112" spans="2:2" ht="14.4" x14ac:dyDescent="0.3">
      <c r="B112" s="3"/>
    </row>
    <row r="113" spans="2:2" ht="14.4" x14ac:dyDescent="0.3">
      <c r="B113" s="3"/>
    </row>
    <row r="114" spans="2:2" ht="14.4" x14ac:dyDescent="0.3">
      <c r="B114" s="3"/>
    </row>
    <row r="115" spans="2:2" ht="14.4" x14ac:dyDescent="0.3">
      <c r="B115" s="3"/>
    </row>
    <row r="116" spans="2:2" ht="14.4" x14ac:dyDescent="0.3">
      <c r="B116" s="3"/>
    </row>
    <row r="117" spans="2:2" ht="14.4" x14ac:dyDescent="0.3">
      <c r="B117" s="3"/>
    </row>
    <row r="118" spans="2:2" ht="14.4" x14ac:dyDescent="0.3">
      <c r="B118" s="3"/>
    </row>
    <row r="119" spans="2:2" ht="14.4" x14ac:dyDescent="0.3">
      <c r="B119" s="3"/>
    </row>
    <row r="120" spans="2:2" ht="14.4" x14ac:dyDescent="0.3">
      <c r="B120" s="3"/>
    </row>
    <row r="121" spans="2:2" ht="14.4" x14ac:dyDescent="0.3">
      <c r="B121" s="3"/>
    </row>
    <row r="122" spans="2:2" ht="14.4" x14ac:dyDescent="0.3">
      <c r="B122" s="3"/>
    </row>
    <row r="123" spans="2:2" ht="14.4" x14ac:dyDescent="0.3">
      <c r="B123" s="3"/>
    </row>
    <row r="124" spans="2:2" ht="14.4" x14ac:dyDescent="0.3">
      <c r="B124" s="3"/>
    </row>
    <row r="125" spans="2:2" ht="14.4" x14ac:dyDescent="0.3">
      <c r="B125" s="3"/>
    </row>
    <row r="126" spans="2:2" ht="14.4" x14ac:dyDescent="0.3">
      <c r="B126" s="3"/>
    </row>
    <row r="127" spans="2:2" ht="14.4" x14ac:dyDescent="0.3">
      <c r="B127" s="3"/>
    </row>
    <row r="128" spans="2:2" ht="14.4" x14ac:dyDescent="0.3">
      <c r="B128" s="3"/>
    </row>
    <row r="129" spans="2:2" ht="14.4" x14ac:dyDescent="0.3">
      <c r="B129" s="3"/>
    </row>
    <row r="130" spans="2:2" ht="14.4" x14ac:dyDescent="0.3">
      <c r="B130" s="3"/>
    </row>
    <row r="131" spans="2:2" ht="14.4" x14ac:dyDescent="0.3">
      <c r="B131" s="3"/>
    </row>
    <row r="132" spans="2:2" ht="14.4" x14ac:dyDescent="0.3">
      <c r="B132" s="3"/>
    </row>
    <row r="133" spans="2:2" ht="14.4" x14ac:dyDescent="0.3">
      <c r="B133" s="3"/>
    </row>
    <row r="134" spans="2:2" ht="14.4" x14ac:dyDescent="0.3">
      <c r="B134" s="3"/>
    </row>
    <row r="135" spans="2:2" ht="14.4" x14ac:dyDescent="0.3">
      <c r="B135" s="3"/>
    </row>
    <row r="136" spans="2:2" ht="14.4" x14ac:dyDescent="0.3">
      <c r="B136" s="3"/>
    </row>
    <row r="137" spans="2:2" ht="14.4" x14ac:dyDescent="0.3">
      <c r="B137" s="3"/>
    </row>
    <row r="138" spans="2:2" ht="14.4" x14ac:dyDescent="0.3">
      <c r="B138" s="3"/>
    </row>
    <row r="139" spans="2:2" ht="14.4" x14ac:dyDescent="0.3">
      <c r="B139" s="3"/>
    </row>
    <row r="140" spans="2:2" ht="14.4" x14ac:dyDescent="0.3">
      <c r="B140" s="3"/>
    </row>
    <row r="141" spans="2:2" ht="14.4" x14ac:dyDescent="0.3">
      <c r="B141" s="3"/>
    </row>
    <row r="142" spans="2:2" ht="14.4" x14ac:dyDescent="0.3">
      <c r="B142" s="3"/>
    </row>
    <row r="143" spans="2:2" ht="14.4" x14ac:dyDescent="0.3">
      <c r="B143" s="3"/>
    </row>
    <row r="144" spans="2:2" ht="14.4" x14ac:dyDescent="0.3">
      <c r="B144" s="3"/>
    </row>
    <row r="145" spans="2:2" ht="14.4" x14ac:dyDescent="0.3">
      <c r="B145" s="3"/>
    </row>
    <row r="146" spans="2:2" ht="14.4" x14ac:dyDescent="0.3">
      <c r="B146" s="3"/>
    </row>
    <row r="147" spans="2:2" ht="14.4" x14ac:dyDescent="0.3">
      <c r="B147" s="3"/>
    </row>
    <row r="148" spans="2:2" ht="14.4" x14ac:dyDescent="0.3">
      <c r="B148" s="3"/>
    </row>
    <row r="149" spans="2:2" ht="14.4" x14ac:dyDescent="0.3">
      <c r="B149" s="3"/>
    </row>
    <row r="150" spans="2:2" ht="14.4" x14ac:dyDescent="0.3">
      <c r="B150" s="3"/>
    </row>
    <row r="151" spans="2:2" ht="14.4" x14ac:dyDescent="0.3">
      <c r="B151" s="3"/>
    </row>
    <row r="152" spans="2:2" ht="14.4" x14ac:dyDescent="0.3">
      <c r="B152" s="3"/>
    </row>
    <row r="153" spans="2:2" ht="14.4" x14ac:dyDescent="0.3">
      <c r="B153" s="3"/>
    </row>
    <row r="154" spans="2:2" ht="14.4" x14ac:dyDescent="0.3">
      <c r="B154" s="3"/>
    </row>
    <row r="155" spans="2:2" ht="14.4" x14ac:dyDescent="0.3">
      <c r="B155" s="3"/>
    </row>
    <row r="156" spans="2:2" ht="14.4" x14ac:dyDescent="0.3">
      <c r="B156" s="3"/>
    </row>
    <row r="157" spans="2:2" ht="14.4" x14ac:dyDescent="0.3">
      <c r="B157" s="3"/>
    </row>
    <row r="158" spans="2:2" ht="14.4" x14ac:dyDescent="0.3">
      <c r="B158" s="3"/>
    </row>
    <row r="159" spans="2:2" ht="14.4" x14ac:dyDescent="0.3">
      <c r="B159" s="3"/>
    </row>
    <row r="160" spans="2:2" ht="14.4" x14ac:dyDescent="0.3">
      <c r="B160" s="3"/>
    </row>
    <row r="161" spans="2:2" ht="14.4" x14ac:dyDescent="0.3">
      <c r="B161" s="3"/>
    </row>
    <row r="162" spans="2:2" ht="14.4" x14ac:dyDescent="0.3">
      <c r="B162" s="3"/>
    </row>
    <row r="163" spans="2:2" ht="14.4" x14ac:dyDescent="0.3">
      <c r="B163" s="3"/>
    </row>
    <row r="164" spans="2:2" ht="14.4" x14ac:dyDescent="0.3">
      <c r="B164" s="3"/>
    </row>
    <row r="165" spans="2:2" ht="14.4" x14ac:dyDescent="0.3">
      <c r="B165" s="3"/>
    </row>
    <row r="166" spans="2:2" ht="14.4" x14ac:dyDescent="0.3">
      <c r="B166" s="3"/>
    </row>
    <row r="167" spans="2:2" ht="14.4" x14ac:dyDescent="0.3">
      <c r="B167" s="3"/>
    </row>
    <row r="168" spans="2:2" ht="14.4" x14ac:dyDescent="0.3">
      <c r="B168" s="3"/>
    </row>
    <row r="169" spans="2:2" ht="14.4" x14ac:dyDescent="0.3">
      <c r="B169" s="3"/>
    </row>
    <row r="170" spans="2:2" ht="14.4" x14ac:dyDescent="0.3">
      <c r="B170" s="3"/>
    </row>
    <row r="171" spans="2:2" ht="14.4" x14ac:dyDescent="0.3">
      <c r="B171" s="3"/>
    </row>
    <row r="172" spans="2:2" ht="14.4" x14ac:dyDescent="0.3">
      <c r="B172" s="3"/>
    </row>
    <row r="173" spans="2:2" ht="14.4" x14ac:dyDescent="0.3">
      <c r="B173" s="3"/>
    </row>
    <row r="174" spans="2:2" ht="14.4" x14ac:dyDescent="0.3">
      <c r="B174" s="3"/>
    </row>
    <row r="175" spans="2:2" ht="14.4" x14ac:dyDescent="0.3">
      <c r="B175" s="3"/>
    </row>
    <row r="176" spans="2:2" ht="14.4" x14ac:dyDescent="0.3">
      <c r="B176" s="3"/>
    </row>
    <row r="177" spans="2:2" ht="14.4" x14ac:dyDescent="0.3">
      <c r="B177" s="3"/>
    </row>
    <row r="178" spans="2:2" ht="14.4" x14ac:dyDescent="0.3">
      <c r="B178" s="3"/>
    </row>
    <row r="179" spans="2:2" ht="14.4" x14ac:dyDescent="0.3">
      <c r="B179" s="3"/>
    </row>
    <row r="180" spans="2:2" ht="14.4" x14ac:dyDescent="0.3">
      <c r="B180" s="3"/>
    </row>
    <row r="181" spans="2:2" ht="14.4" x14ac:dyDescent="0.3">
      <c r="B181" s="3"/>
    </row>
    <row r="182" spans="2:2" ht="14.4" x14ac:dyDescent="0.3">
      <c r="B182" s="3"/>
    </row>
    <row r="183" spans="2:2" ht="14.4" x14ac:dyDescent="0.3">
      <c r="B183" s="3"/>
    </row>
    <row r="184" spans="2:2" ht="14.4" x14ac:dyDescent="0.3">
      <c r="B184" s="3"/>
    </row>
    <row r="185" spans="2:2" ht="14.4" x14ac:dyDescent="0.3">
      <c r="B185" s="3"/>
    </row>
    <row r="186" spans="2:2" ht="14.4" x14ac:dyDescent="0.3">
      <c r="B186" s="3"/>
    </row>
    <row r="187" spans="2:2" ht="14.4" x14ac:dyDescent="0.3">
      <c r="B187" s="3"/>
    </row>
    <row r="188" spans="2:2" ht="14.4" x14ac:dyDescent="0.3">
      <c r="B188" s="3"/>
    </row>
    <row r="189" spans="2:2" ht="14.4" x14ac:dyDescent="0.3">
      <c r="B189" s="3"/>
    </row>
    <row r="190" spans="2:2" ht="14.4" x14ac:dyDescent="0.3">
      <c r="B190" s="3"/>
    </row>
    <row r="191" spans="2:2" ht="14.4" x14ac:dyDescent="0.3">
      <c r="B191" s="3"/>
    </row>
    <row r="192" spans="2:2" ht="14.4" x14ac:dyDescent="0.3">
      <c r="B192" s="3"/>
    </row>
    <row r="193" spans="2:2" ht="14.4" x14ac:dyDescent="0.3">
      <c r="B193" s="3"/>
    </row>
    <row r="194" spans="2:2" ht="14.4" x14ac:dyDescent="0.3">
      <c r="B194" s="3"/>
    </row>
    <row r="195" spans="2:2" ht="14.4" x14ac:dyDescent="0.3">
      <c r="B195" s="3"/>
    </row>
    <row r="196" spans="2:2" ht="14.4" x14ac:dyDescent="0.3">
      <c r="B196" s="3"/>
    </row>
    <row r="197" spans="2:2" ht="14.4" x14ac:dyDescent="0.3">
      <c r="B197" s="3"/>
    </row>
    <row r="198" spans="2:2" ht="14.4" x14ac:dyDescent="0.3">
      <c r="B198" s="3"/>
    </row>
    <row r="199" spans="2:2" ht="14.4" x14ac:dyDescent="0.3">
      <c r="B199" s="3"/>
    </row>
    <row r="200" spans="2:2" ht="14.4" x14ac:dyDescent="0.3">
      <c r="B200" s="3"/>
    </row>
    <row r="201" spans="2:2" ht="14.4" x14ac:dyDescent="0.3">
      <c r="B201" s="3"/>
    </row>
    <row r="202" spans="2:2" ht="14.4" x14ac:dyDescent="0.3">
      <c r="B202" s="3"/>
    </row>
    <row r="203" spans="2:2" ht="14.4" x14ac:dyDescent="0.3">
      <c r="B203" s="3"/>
    </row>
    <row r="204" spans="2:2" ht="14.4" x14ac:dyDescent="0.3">
      <c r="B204" s="3"/>
    </row>
    <row r="205" spans="2:2" ht="14.4" x14ac:dyDescent="0.3">
      <c r="B205" s="3"/>
    </row>
    <row r="206" spans="2:2" ht="14.4" x14ac:dyDescent="0.3">
      <c r="B206" s="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workbookViewId="0">
      <selection activeCell="B2" sqref="B2:D21"/>
    </sheetView>
  </sheetViews>
  <sheetFormatPr defaultColWidth="9.109375" defaultRowHeight="15.6" x14ac:dyDescent="0.3"/>
  <cols>
    <col min="1" max="1" width="9.109375" style="142"/>
    <col min="2" max="2" width="15.109375" style="142" customWidth="1"/>
    <col min="3" max="4" width="15" style="142" customWidth="1"/>
    <col min="5" max="5" width="5.109375" style="142" customWidth="1"/>
    <col min="6" max="6" width="20.33203125" style="142" customWidth="1"/>
    <col min="7" max="7" width="15" style="142" customWidth="1"/>
    <col min="8" max="8" width="11.109375" style="142" customWidth="1"/>
    <col min="9" max="16384" width="9.109375" style="142"/>
  </cols>
  <sheetData>
    <row r="1" spans="1:14" ht="30" x14ac:dyDescent="0.5">
      <c r="A1" s="113" t="s">
        <v>1804</v>
      </c>
      <c r="B1" s="114"/>
      <c r="C1" s="3"/>
      <c r="D1" s="3"/>
      <c r="F1" s="3"/>
      <c r="N1" s="633" t="s">
        <v>3016</v>
      </c>
    </row>
    <row r="3" spans="1:14" ht="16.2" thickBot="1" x14ac:dyDescent="0.35">
      <c r="B3" s="278" t="s">
        <v>177</v>
      </c>
      <c r="C3" s="253" t="s">
        <v>1564</v>
      </c>
      <c r="D3" s="253" t="s">
        <v>596</v>
      </c>
    </row>
    <row r="4" spans="1:14" x14ac:dyDescent="0.3">
      <c r="B4" s="142" t="s">
        <v>1824</v>
      </c>
      <c r="C4" s="242">
        <v>75</v>
      </c>
      <c r="D4" s="242" t="str">
        <f>LOOKUP(C4,{0,60,63,67,70,73,77,80,83,87,90,93,97},{"F","D-","D","D+","C-","C","C+","B-","B","B+","A-","A","A+"})</f>
        <v>C</v>
      </c>
      <c r="F4" s="175" t="s">
        <v>1814</v>
      </c>
      <c r="G4" s="285">
        <f>PERCENTILE($C$4:$C$21,1)</f>
        <v>100</v>
      </c>
    </row>
    <row r="5" spans="1:14" x14ac:dyDescent="0.3">
      <c r="B5" s="142" t="s">
        <v>1572</v>
      </c>
      <c r="C5" s="242">
        <v>75</v>
      </c>
      <c r="D5" s="242" t="str">
        <f>LOOKUP(C5,{0,60,63,67,70,73,77,80,83,87,90,93,97},{"F","D-","D","D+","C-","C","C+","B-","B","B+","A-","A","A+"})</f>
        <v>C</v>
      </c>
      <c r="F5" s="175" t="s">
        <v>1813</v>
      </c>
      <c r="G5" s="285">
        <f>PERCENTILE($C$4:$C$21,0.9)</f>
        <v>96.6</v>
      </c>
      <c r="H5" s="142" t="s">
        <v>1815</v>
      </c>
    </row>
    <row r="6" spans="1:14" x14ac:dyDescent="0.3">
      <c r="B6" s="142" t="s">
        <v>1573</v>
      </c>
      <c r="C6" s="242">
        <v>62</v>
      </c>
      <c r="D6" s="242" t="str">
        <f>LOOKUP(C6,{0,60,63,67,70,73,77,80,83,87,90,93,97},{"F","D-","D","D+","C-","C","C+","B-","B","B+","A-","A","A+"})</f>
        <v>D-</v>
      </c>
      <c r="F6" s="175" t="s">
        <v>1812</v>
      </c>
      <c r="G6" s="285">
        <f>PERCENTILE($C$4:$C$21,0.8)</f>
        <v>94.2</v>
      </c>
      <c r="H6" s="175" t="s">
        <v>1816</v>
      </c>
    </row>
    <row r="7" spans="1:14" x14ac:dyDescent="0.3">
      <c r="B7" s="142" t="s">
        <v>1831</v>
      </c>
      <c r="C7" s="242">
        <v>73</v>
      </c>
      <c r="D7" s="242" t="str">
        <f>LOOKUP(C7,{0,60,63,67,70,73,77,80,83,87,90,93,97},{"F","D-","D","D+","C-","C","C+","B-","B","B+","A-","A","A+"})</f>
        <v>C</v>
      </c>
      <c r="F7" s="175" t="s">
        <v>1811</v>
      </c>
      <c r="G7" s="285">
        <f>PERCENTILE($C$4:$C$21,0.7)</f>
        <v>91.8</v>
      </c>
      <c r="H7" s="175" t="s">
        <v>1817</v>
      </c>
    </row>
    <row r="8" spans="1:14" x14ac:dyDescent="0.3">
      <c r="B8" s="142" t="s">
        <v>1570</v>
      </c>
      <c r="C8" s="242">
        <v>86</v>
      </c>
      <c r="D8" s="242" t="str">
        <f>LOOKUP(C8,{0,60,63,67,70,73,77,80,83,87,90,93,97},{"F","D-","D","D+","C-","C","C+","B-","B","B+","A-","A","A+"})</f>
        <v>B</v>
      </c>
      <c r="F8" s="175" t="s">
        <v>1810</v>
      </c>
      <c r="G8" s="285">
        <f>PERCENTILE($C$4:$C$21,0.6)</f>
        <v>88.4</v>
      </c>
      <c r="H8" s="175" t="s">
        <v>1818</v>
      </c>
    </row>
    <row r="9" spans="1:14" x14ac:dyDescent="0.3">
      <c r="B9" s="142" t="s">
        <v>1825</v>
      </c>
      <c r="C9" s="242">
        <v>58</v>
      </c>
      <c r="D9" s="242" t="str">
        <f>LOOKUP(C9,{0,60,63,67,70,73,77,80,83,87,90,93,97},{"F","D-","D","D+","C-","C","C+","B-","B","B+","A-","A","A+"})</f>
        <v>F</v>
      </c>
      <c r="F9" s="175" t="s">
        <v>1809</v>
      </c>
      <c r="G9" s="285">
        <f>PERCENTILE($C$4:$C$21,0.5)</f>
        <v>85</v>
      </c>
      <c r="H9" s="175" t="s">
        <v>1819</v>
      </c>
    </row>
    <row r="10" spans="1:14" x14ac:dyDescent="0.3">
      <c r="B10" s="142" t="s">
        <v>1567</v>
      </c>
      <c r="C10" s="242">
        <v>95</v>
      </c>
      <c r="D10" s="242" t="str">
        <f>LOOKUP(C10,{0,60,63,67,70,73,77,80,83,87,90,93,97},{"F","D-","D","D+","C-","C","C+","B-","B","B+","A-","A","A+"})</f>
        <v>A</v>
      </c>
      <c r="F10" s="175" t="s">
        <v>1808</v>
      </c>
      <c r="G10" s="285">
        <f>PERCENTILE($C$4:$C$21,0.4)</f>
        <v>75</v>
      </c>
      <c r="H10" s="175" t="s">
        <v>1820</v>
      </c>
    </row>
    <row r="11" spans="1:14" x14ac:dyDescent="0.3">
      <c r="B11" s="142" t="s">
        <v>1568</v>
      </c>
      <c r="C11" s="242">
        <v>93</v>
      </c>
      <c r="D11" s="242" t="str">
        <f>LOOKUP(C11,{0,60,63,67,70,73,77,80,83,87,90,93,97},{"F","D-","D","D+","C-","C","C+","B-","B","B+","A-","A","A+"})</f>
        <v>A</v>
      </c>
      <c r="F11" s="175" t="s">
        <v>1807</v>
      </c>
      <c r="G11" s="285">
        <f>PERCENTILE($C$4:$C$21,0.3)</f>
        <v>73.2</v>
      </c>
      <c r="H11" s="175" t="s">
        <v>1821</v>
      </c>
    </row>
    <row r="12" spans="1:14" x14ac:dyDescent="0.3">
      <c r="B12" s="142" t="s">
        <v>1793</v>
      </c>
      <c r="C12" s="242">
        <v>96</v>
      </c>
      <c r="D12" s="242" t="str">
        <f>LOOKUP(C12,{0,60,63,67,70,73,77,80,83,87,90,93,97},{"F","D-","D","D+","C-","C","C+","B-","B","B+","A-","A","A+"})</f>
        <v>A</v>
      </c>
      <c r="F12" s="142" t="s">
        <v>1806</v>
      </c>
      <c r="G12" s="285">
        <f>PERCENTILE($C$4:$C$21,0.2)</f>
        <v>60.8</v>
      </c>
      <c r="H12" s="175" t="s">
        <v>1822</v>
      </c>
    </row>
    <row r="13" spans="1:14" x14ac:dyDescent="0.3">
      <c r="B13" s="142" t="s">
        <v>1565</v>
      </c>
      <c r="C13" s="242">
        <v>100</v>
      </c>
      <c r="D13" s="242" t="str">
        <f>LOOKUP(C13,{0,60,63,67,70,73,77,80,83,87,90,93,97},{"F","D-","D","D+","C-","C","C+","B-","B","B+","A-","A","A+"})</f>
        <v>A+</v>
      </c>
      <c r="F13" s="142" t="s">
        <v>1805</v>
      </c>
      <c r="G13" s="285">
        <f>PERCENTILE($C$4:$C$21,0.1)</f>
        <v>58.7</v>
      </c>
      <c r="H13" s="175" t="s">
        <v>1823</v>
      </c>
    </row>
    <row r="14" spans="1:14" x14ac:dyDescent="0.3">
      <c r="B14" s="175" t="s">
        <v>1829</v>
      </c>
      <c r="C14" s="242">
        <v>84</v>
      </c>
      <c r="D14" s="242" t="str">
        <f>LOOKUP(C14,{0,60,63,67,70,73,77,80,83,87,90,93,97},{"F","D-","D","D+","C-","C","C+","B-","B","B+","A-","A","A+"})</f>
        <v>B</v>
      </c>
    </row>
    <row r="15" spans="1:14" x14ac:dyDescent="0.3">
      <c r="B15" s="142" t="s">
        <v>1827</v>
      </c>
      <c r="C15" s="242">
        <v>60</v>
      </c>
      <c r="D15" s="242" t="str">
        <f>LOOKUP(C15,{0,60,63,67,70,73,77,80,83,87,90,93,97},{"F","D-","D","D+","C-","C","C+","B-","B","B+","A-","A","A+"})</f>
        <v>D-</v>
      </c>
    </row>
    <row r="16" spans="1:14" x14ac:dyDescent="0.3">
      <c r="B16" s="142" t="s">
        <v>1826</v>
      </c>
      <c r="C16" s="242">
        <v>59</v>
      </c>
      <c r="D16" s="242" t="str">
        <f>LOOKUP(C16,{0,60,63,67,70,73,77,80,83,87,90,93,97},{"F","D-","D","D+","C-","C","C+","B-","B","B+","A-","A","A+"})</f>
        <v>F</v>
      </c>
    </row>
    <row r="17" spans="2:4" x14ac:dyDescent="0.3">
      <c r="B17" s="142" t="s">
        <v>1566</v>
      </c>
      <c r="C17" s="242">
        <v>98</v>
      </c>
      <c r="D17" s="242" t="str">
        <f>LOOKUP(C17,{0,60,63,67,70,73,77,80,83,87,90,93,97},{"F","D-","D","D+","C-","C","C+","B-","B","B+","A-","A","A+"})</f>
        <v>A+</v>
      </c>
    </row>
    <row r="18" spans="2:4" x14ac:dyDescent="0.3">
      <c r="B18" s="142" t="s">
        <v>1830</v>
      </c>
      <c r="C18" s="242">
        <v>92</v>
      </c>
      <c r="D18" s="242" t="str">
        <f>LOOKUP(C18,{0,60,63,67,70,73,77,80,83,87,90,93,97},{"F","D-","D","D+","C-","C","C+","B-","B","B+","A-","A","A+"})</f>
        <v>A-</v>
      </c>
    </row>
    <row r="19" spans="2:4" x14ac:dyDescent="0.3">
      <c r="B19" s="142" t="s">
        <v>1569</v>
      </c>
      <c r="C19" s="242">
        <v>90</v>
      </c>
      <c r="D19" s="242" t="str">
        <f>LOOKUP(C19,{0,60,63,67,70,73,77,80,83,87,90,93,97},{"F","D-","D","D+","C-","C","C+","B-","B","B+","A-","A","A+"})</f>
        <v>A-</v>
      </c>
    </row>
    <row r="20" spans="2:4" x14ac:dyDescent="0.3">
      <c r="B20" s="142" t="s">
        <v>1828</v>
      </c>
      <c r="C20" s="242">
        <v>88</v>
      </c>
      <c r="D20" s="242" t="str">
        <f>LOOKUP(C20,{0,60,63,67,70,73,77,80,83,87,90,93,97},{"F","D-","D","D+","C-","C","C+","B-","B","B+","A-","A","A+"})</f>
        <v>B+</v>
      </c>
    </row>
    <row r="21" spans="2:4" x14ac:dyDescent="0.3">
      <c r="B21" s="142" t="s">
        <v>1832</v>
      </c>
      <c r="C21" s="242">
        <v>57</v>
      </c>
      <c r="D21" s="242" t="str">
        <f>LOOKUP(C21,{0,60,63,67,70,73,77,80,83,87,90,93,97},{"F","D-","D","D+","C-","C","C+","B-","B","B+","A-","A","A+"})</f>
        <v>F</v>
      </c>
    </row>
  </sheetData>
  <sortState ref="B4:D21">
    <sortCondition ref="B4"/>
  </sortState>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workbookViewId="0">
      <selection activeCell="E4" sqref="E4"/>
    </sheetView>
  </sheetViews>
  <sheetFormatPr defaultColWidth="9.109375" defaultRowHeight="15.6" x14ac:dyDescent="0.3"/>
  <cols>
    <col min="1" max="1" width="9.109375" style="142"/>
    <col min="2" max="2" width="15.109375" style="142" customWidth="1"/>
    <col min="3" max="5" width="15" style="142" customWidth="1"/>
    <col min="6" max="6" width="6.6640625" style="142" customWidth="1"/>
    <col min="7" max="7" width="20.33203125" style="142" customWidth="1"/>
    <col min="8" max="8" width="15" style="142" customWidth="1"/>
    <col min="9" max="9" width="11.109375" style="142" customWidth="1"/>
    <col min="10" max="16384" width="9.109375" style="142"/>
  </cols>
  <sheetData>
    <row r="1" spans="1:16" ht="30" x14ac:dyDescent="0.5">
      <c r="A1" s="113" t="s">
        <v>3029</v>
      </c>
      <c r="B1" s="114"/>
      <c r="C1" s="3"/>
      <c r="D1" s="3"/>
      <c r="F1" s="3"/>
      <c r="G1" s="3"/>
      <c r="P1" s="633" t="s">
        <v>3016</v>
      </c>
    </row>
    <row r="3" spans="1:16" ht="16.2" thickBot="1" x14ac:dyDescent="0.35">
      <c r="B3" s="278" t="s">
        <v>177</v>
      </c>
      <c r="C3" s="253" t="s">
        <v>1564</v>
      </c>
      <c r="D3" s="253" t="s">
        <v>596</v>
      </c>
      <c r="E3" s="253" t="s">
        <v>1833</v>
      </c>
      <c r="F3" s="283"/>
    </row>
    <row r="4" spans="1:16" x14ac:dyDescent="0.3">
      <c r="B4" s="142" t="s">
        <v>1824</v>
      </c>
      <c r="C4" s="242">
        <v>75</v>
      </c>
      <c r="D4" s="242" t="str">
        <f>LOOKUP(C4,{0,60,63,67,70,73,77,80,83,87,90,93,97},{"F","D-","D","D+","C-","C","C+","B-","B","B+","A-","A","A+"})</f>
        <v>C</v>
      </c>
      <c r="E4" s="284">
        <f t="shared" ref="E4:E21" si="0">PERCENTRANK($C$4:$C$21,C4)</f>
        <v>0.35199999999999998</v>
      </c>
      <c r="F4" s="284"/>
      <c r="G4" s="175" t="s">
        <v>1814</v>
      </c>
      <c r="H4" s="285">
        <f>PERCENTILE($C$4:$C$21,1)</f>
        <v>100</v>
      </c>
    </row>
    <row r="5" spans="1:16" x14ac:dyDescent="0.3">
      <c r="B5" s="142" t="s">
        <v>1572</v>
      </c>
      <c r="C5" s="242">
        <v>75</v>
      </c>
      <c r="D5" s="242" t="str">
        <f>LOOKUP(C5,{0,60,63,67,70,73,77,80,83,87,90,93,97},{"F","D-","D","D+","C-","C","C+","B-","B","B+","A-","A","A+"})</f>
        <v>C</v>
      </c>
      <c r="E5" s="284">
        <f t="shared" si="0"/>
        <v>0.35199999999999998</v>
      </c>
      <c r="F5" s="284"/>
      <c r="G5" s="175" t="s">
        <v>1813</v>
      </c>
      <c r="H5" s="285">
        <f>PERCENTILE($C$4:$C$21,0.9)</f>
        <v>96.6</v>
      </c>
      <c r="I5" s="142" t="s">
        <v>1815</v>
      </c>
    </row>
    <row r="6" spans="1:16" x14ac:dyDescent="0.3">
      <c r="B6" s="142" t="s">
        <v>1573</v>
      </c>
      <c r="C6" s="242">
        <v>62</v>
      </c>
      <c r="D6" s="242" t="str">
        <f>LOOKUP(C6,{0,60,63,67,70,73,77,80,83,87,90,93,97},{"F","D-","D","D+","C-","C","C+","B-","B","B+","A-","A","A+"})</f>
        <v>D-</v>
      </c>
      <c r="E6" s="284">
        <f t="shared" si="0"/>
        <v>0.23499999999999999</v>
      </c>
      <c r="F6" s="284"/>
      <c r="G6" s="175" t="s">
        <v>1812</v>
      </c>
      <c r="H6" s="285">
        <f>PERCENTILE($C$4:$C$21,0.8)</f>
        <v>94.2</v>
      </c>
      <c r="I6" s="175" t="s">
        <v>1816</v>
      </c>
    </row>
    <row r="7" spans="1:16" x14ac:dyDescent="0.3">
      <c r="B7" s="142" t="s">
        <v>1831</v>
      </c>
      <c r="C7" s="242">
        <v>73</v>
      </c>
      <c r="D7" s="242" t="str">
        <f>LOOKUP(C7,{0,60,63,67,70,73,77,80,83,87,90,93,97},{"F","D-","D","D+","C-","C","C+","B-","B","B+","A-","A","A+"})</f>
        <v>C</v>
      </c>
      <c r="E7" s="284">
        <f t="shared" si="0"/>
        <v>0.29399999999999998</v>
      </c>
      <c r="F7" s="284"/>
      <c r="G7" s="175" t="s">
        <v>1811</v>
      </c>
      <c r="H7" s="285">
        <f>PERCENTILE($C$4:$C$21,0.7)</f>
        <v>91.8</v>
      </c>
      <c r="I7" s="175" t="s">
        <v>1817</v>
      </c>
    </row>
    <row r="8" spans="1:16" x14ac:dyDescent="0.3">
      <c r="B8" s="142" t="s">
        <v>1570</v>
      </c>
      <c r="C8" s="242">
        <v>86</v>
      </c>
      <c r="D8" s="242" t="str">
        <f>LOOKUP(C8,{0,60,63,67,70,73,77,80,83,87,90,93,97},{"F","D-","D","D+","C-","C","C+","B-","B","B+","A-","A","A+"})</f>
        <v>B</v>
      </c>
      <c r="E8" s="284">
        <f t="shared" si="0"/>
        <v>0.52900000000000003</v>
      </c>
      <c r="F8" s="284"/>
      <c r="G8" s="175" t="s">
        <v>1810</v>
      </c>
      <c r="H8" s="285">
        <f>PERCENTILE($C$4:$C$21,0.6)</f>
        <v>88.4</v>
      </c>
      <c r="I8" s="175" t="s">
        <v>1818</v>
      </c>
    </row>
    <row r="9" spans="1:16" x14ac:dyDescent="0.3">
      <c r="B9" s="142" t="s">
        <v>1825</v>
      </c>
      <c r="C9" s="242">
        <v>58</v>
      </c>
      <c r="D9" s="242" t="str">
        <f>LOOKUP(C9,{0,60,63,67,70,73,77,80,83,87,90,93,97},{"F","D-","D","D+","C-","C","C+","B-","B","B+","A-","A","A+"})</f>
        <v>F</v>
      </c>
      <c r="E9" s="284">
        <f t="shared" si="0"/>
        <v>5.8000000000000003E-2</v>
      </c>
      <c r="F9" s="284"/>
      <c r="G9" s="175" t="s">
        <v>1809</v>
      </c>
      <c r="H9" s="285">
        <f>PERCENTILE($C$4:$C$21,0.5)</f>
        <v>85</v>
      </c>
      <c r="I9" s="175" t="s">
        <v>1819</v>
      </c>
    </row>
    <row r="10" spans="1:16" x14ac:dyDescent="0.3">
      <c r="B10" s="142" t="s">
        <v>1567</v>
      </c>
      <c r="C10" s="242">
        <v>95</v>
      </c>
      <c r="D10" s="242" t="str">
        <f>LOOKUP(C10,{0,60,63,67,70,73,77,80,83,87,90,93,97},{"F","D-","D","D+","C-","C","C+","B-","B","B+","A-","A","A+"})</f>
        <v>A</v>
      </c>
      <c r="E10" s="284">
        <f t="shared" si="0"/>
        <v>0.82299999999999995</v>
      </c>
      <c r="F10" s="284"/>
      <c r="G10" s="175" t="s">
        <v>1808</v>
      </c>
      <c r="H10" s="285">
        <f>PERCENTILE($C$4:$C$21,0.4)</f>
        <v>75</v>
      </c>
      <c r="I10" s="175" t="s">
        <v>1820</v>
      </c>
    </row>
    <row r="11" spans="1:16" x14ac:dyDescent="0.3">
      <c r="B11" s="142" t="s">
        <v>1568</v>
      </c>
      <c r="C11" s="242">
        <v>93</v>
      </c>
      <c r="D11" s="242" t="str">
        <f>LOOKUP(C11,{0,60,63,67,70,73,77,80,83,87,90,93,97},{"F","D-","D","D+","C-","C","C+","B-","B","B+","A-","A","A+"})</f>
        <v>A</v>
      </c>
      <c r="E11" s="284">
        <f t="shared" si="0"/>
        <v>0.76400000000000001</v>
      </c>
      <c r="F11" s="284"/>
      <c r="G11" s="175" t="s">
        <v>1807</v>
      </c>
      <c r="H11" s="285">
        <f>PERCENTILE($C$4:$C$21,0.3)</f>
        <v>73.2</v>
      </c>
      <c r="I11" s="175" t="s">
        <v>1821</v>
      </c>
    </row>
    <row r="12" spans="1:16" x14ac:dyDescent="0.3">
      <c r="B12" s="142" t="s">
        <v>1793</v>
      </c>
      <c r="C12" s="242">
        <v>96</v>
      </c>
      <c r="D12" s="242" t="str">
        <f>LOOKUP(C12,{0,60,63,67,70,73,77,80,83,87,90,93,97},{"F","D-","D","D+","C-","C","C+","B-","B","B+","A-","A","A+"})</f>
        <v>A</v>
      </c>
      <c r="E12" s="284">
        <f t="shared" si="0"/>
        <v>0.88200000000000001</v>
      </c>
      <c r="F12" s="284"/>
      <c r="G12" s="142" t="s">
        <v>1806</v>
      </c>
      <c r="H12" s="285">
        <f>PERCENTILE($C$4:$C$21,0.2)</f>
        <v>60.8</v>
      </c>
      <c r="I12" s="175" t="s">
        <v>1822</v>
      </c>
    </row>
    <row r="13" spans="1:16" x14ac:dyDescent="0.3">
      <c r="B13" s="142" t="s">
        <v>1565</v>
      </c>
      <c r="C13" s="242">
        <v>100</v>
      </c>
      <c r="D13" s="242" t="str">
        <f>LOOKUP(C13,{0,60,63,67,70,73,77,80,83,87,90,93,97},{"F","D-","D","D+","C-","C","C+","B-","B","B+","A-","A","A+"})</f>
        <v>A+</v>
      </c>
      <c r="E13" s="284">
        <f t="shared" si="0"/>
        <v>1</v>
      </c>
      <c r="F13" s="284"/>
      <c r="G13" s="142" t="s">
        <v>1805</v>
      </c>
      <c r="H13" s="285">
        <f>PERCENTILE($C$4:$C$21,0.1)</f>
        <v>58.7</v>
      </c>
      <c r="I13" s="175" t="s">
        <v>1823</v>
      </c>
    </row>
    <row r="14" spans="1:16" x14ac:dyDescent="0.3">
      <c r="B14" s="175" t="s">
        <v>1829</v>
      </c>
      <c r="C14" s="242">
        <v>84</v>
      </c>
      <c r="D14" s="242" t="str">
        <f>LOOKUP(C14,{0,60,63,67,70,73,77,80,83,87,90,93,97},{"F","D-","D","D+","C-","C","C+","B-","B","B+","A-","A","A+"})</f>
        <v>B</v>
      </c>
      <c r="E14" s="284">
        <f t="shared" si="0"/>
        <v>0.47</v>
      </c>
      <c r="F14" s="284"/>
    </row>
    <row r="15" spans="1:16" x14ac:dyDescent="0.3">
      <c r="B15" s="142" t="s">
        <v>1827</v>
      </c>
      <c r="C15" s="242">
        <v>60</v>
      </c>
      <c r="D15" s="242" t="str">
        <f>LOOKUP(C15,{0,60,63,67,70,73,77,80,83,87,90,93,97},{"F","D-","D","D+","C-","C","C+","B-","B","B+","A-","A","A+"})</f>
        <v>D-</v>
      </c>
      <c r="E15" s="284">
        <f t="shared" si="0"/>
        <v>0.17599999999999999</v>
      </c>
      <c r="F15" s="284"/>
    </row>
    <row r="16" spans="1:16" x14ac:dyDescent="0.3">
      <c r="B16" s="142" t="s">
        <v>1826</v>
      </c>
      <c r="C16" s="242">
        <v>59</v>
      </c>
      <c r="D16" s="242" t="str">
        <f>LOOKUP(C16,{0,60,63,67,70,73,77,80,83,87,90,93,97},{"F","D-","D","D+","C-","C","C+","B-","B","B+","A-","A","A+"})</f>
        <v>F</v>
      </c>
      <c r="E16" s="284">
        <f t="shared" si="0"/>
        <v>0.11700000000000001</v>
      </c>
      <c r="F16" s="284"/>
    </row>
    <row r="17" spans="2:6" x14ac:dyDescent="0.3">
      <c r="B17" s="142" t="s">
        <v>1566</v>
      </c>
      <c r="C17" s="242">
        <v>98</v>
      </c>
      <c r="D17" s="242" t="str">
        <f>LOOKUP(C17,{0,60,63,67,70,73,77,80,83,87,90,93,97},{"F","D-","D","D+","C-","C","C+","B-","B","B+","A-","A","A+"})</f>
        <v>A+</v>
      </c>
      <c r="E17" s="284">
        <f t="shared" si="0"/>
        <v>0.94099999999999995</v>
      </c>
      <c r="F17" s="284"/>
    </row>
    <row r="18" spans="2:6" x14ac:dyDescent="0.3">
      <c r="B18" s="142" t="s">
        <v>1830</v>
      </c>
      <c r="C18" s="242">
        <v>92</v>
      </c>
      <c r="D18" s="242" t="str">
        <f>LOOKUP(C18,{0,60,63,67,70,73,77,80,83,87,90,93,97},{"F","D-","D","D+","C-","C","C+","B-","B","B+","A-","A","A+"})</f>
        <v>A-</v>
      </c>
      <c r="E18" s="284">
        <f t="shared" si="0"/>
        <v>0.70499999999999996</v>
      </c>
      <c r="F18" s="284"/>
    </row>
    <row r="19" spans="2:6" x14ac:dyDescent="0.3">
      <c r="B19" s="142" t="s">
        <v>1569</v>
      </c>
      <c r="C19" s="242">
        <v>90</v>
      </c>
      <c r="D19" s="242" t="str">
        <f>LOOKUP(C19,{0,60,63,67,70,73,77,80,83,87,90,93,97},{"F","D-","D","D+","C-","C","C+","B-","B","B+","A-","A","A+"})</f>
        <v>A-</v>
      </c>
      <c r="E19" s="284">
        <f t="shared" si="0"/>
        <v>0.64700000000000002</v>
      </c>
      <c r="F19" s="284"/>
    </row>
    <row r="20" spans="2:6" x14ac:dyDescent="0.3">
      <c r="B20" s="142" t="s">
        <v>1828</v>
      </c>
      <c r="C20" s="242">
        <v>88</v>
      </c>
      <c r="D20" s="242" t="str">
        <f>LOOKUP(C20,{0,60,63,67,70,73,77,80,83,87,90,93,97},{"F","D-","D","D+","C-","C","C+","B-","B","B+","A-","A","A+"})</f>
        <v>B+</v>
      </c>
      <c r="E20" s="284">
        <f t="shared" si="0"/>
        <v>0.58799999999999997</v>
      </c>
      <c r="F20" s="284"/>
    </row>
    <row r="21" spans="2:6" x14ac:dyDescent="0.3">
      <c r="B21" s="142" t="s">
        <v>1832</v>
      </c>
      <c r="C21" s="242">
        <v>57</v>
      </c>
      <c r="D21" s="242" t="str">
        <f>LOOKUP(C21,{0,60,63,67,70,73,77,80,83,87,90,93,97},{"F","D-","D","D+","C-","C","C+","B-","B","B+","A-","A","A+"})</f>
        <v>F</v>
      </c>
      <c r="E21" s="284">
        <f t="shared" si="0"/>
        <v>0</v>
      </c>
      <c r="F21" s="284"/>
    </row>
  </sheetData>
  <sortState ref="B4:E21">
    <sortCondition ref="B4"/>
  </sortState>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0"/>
  <sheetViews>
    <sheetView showGridLines="0" workbookViewId="0">
      <selection activeCell="B7" sqref="B7"/>
    </sheetView>
  </sheetViews>
  <sheetFormatPr defaultColWidth="9.109375" defaultRowHeight="15.6" x14ac:dyDescent="0.3"/>
  <cols>
    <col min="1" max="1" width="26.109375" style="142" customWidth="1"/>
    <col min="2" max="2" width="12.6640625" style="142" bestFit="1" customWidth="1"/>
    <col min="3" max="7" width="10.5546875" style="142" customWidth="1"/>
    <col min="8" max="16384" width="9.109375" style="142"/>
  </cols>
  <sheetData>
    <row r="1" spans="1:11" ht="30" x14ac:dyDescent="0.5">
      <c r="A1" s="113" t="s">
        <v>1834</v>
      </c>
      <c r="B1" s="114"/>
      <c r="C1" s="3"/>
      <c r="D1" s="3"/>
      <c r="F1" s="3"/>
      <c r="G1" s="3"/>
      <c r="K1" s="633" t="s">
        <v>3016</v>
      </c>
    </row>
    <row r="3" spans="1:11" x14ac:dyDescent="0.3">
      <c r="A3" s="176" t="s">
        <v>24</v>
      </c>
      <c r="B3" s="251">
        <v>400000</v>
      </c>
    </row>
    <row r="4" spans="1:11" x14ac:dyDescent="0.3">
      <c r="A4" s="179" t="s">
        <v>25</v>
      </c>
      <c r="B4" s="234">
        <v>5.5E-2</v>
      </c>
      <c r="C4" s="142" t="s">
        <v>1838</v>
      </c>
    </row>
    <row r="5" spans="1:11" x14ac:dyDescent="0.3">
      <c r="A5" s="179" t="s">
        <v>1835</v>
      </c>
      <c r="B5" s="281">
        <v>30</v>
      </c>
      <c r="C5" s="142" t="s">
        <v>1837</v>
      </c>
    </row>
    <row r="6" spans="1:11" x14ac:dyDescent="0.3">
      <c r="A6" s="176"/>
      <c r="B6" s="176"/>
    </row>
    <row r="7" spans="1:11" x14ac:dyDescent="0.3">
      <c r="A7" s="176" t="s">
        <v>1836</v>
      </c>
      <c r="B7" s="277">
        <f>PMT(B4/12,B5*12,B3)*-1</f>
        <v>2271.1560053880116</v>
      </c>
    </row>
    <row r="10" spans="1:11" ht="16.2" thickBot="1" x14ac:dyDescent="0.35">
      <c r="B10" s="278" t="s">
        <v>1016</v>
      </c>
      <c r="C10" s="278" t="s">
        <v>1839</v>
      </c>
      <c r="D10" s="278" t="s">
        <v>1840</v>
      </c>
      <c r="E10" s="278" t="s">
        <v>1841</v>
      </c>
      <c r="F10" s="278" t="s">
        <v>1842</v>
      </c>
      <c r="G10" s="278" t="s">
        <v>1843</v>
      </c>
    </row>
    <row r="11" spans="1:11" x14ac:dyDescent="0.3">
      <c r="A11" s="142">
        <v>1</v>
      </c>
      <c r="B11" s="252">
        <v>41759</v>
      </c>
      <c r="C11" s="282">
        <f>B3</f>
        <v>400000</v>
      </c>
      <c r="D11" s="282">
        <f>$B$7</f>
        <v>2271.1560053880116</v>
      </c>
      <c r="E11" s="282">
        <f>C11*$B$4/12</f>
        <v>1833.3333333333333</v>
      </c>
      <c r="F11" s="282">
        <f>D11-E11</f>
        <v>437.82267205467838</v>
      </c>
      <c r="G11" s="282">
        <f>C11-F11</f>
        <v>399562.1773279453</v>
      </c>
    </row>
    <row r="12" spans="1:11" x14ac:dyDescent="0.3">
      <c r="A12" s="142">
        <v>2</v>
      </c>
      <c r="B12" s="252">
        <v>41790</v>
      </c>
      <c r="C12" s="282">
        <f>G11</f>
        <v>399562.1773279453</v>
      </c>
      <c r="D12" s="282">
        <f>$B$7</f>
        <v>2271.1560053880116</v>
      </c>
      <c r="E12" s="282">
        <f>C12*$B$4/12</f>
        <v>1831.3266460864161</v>
      </c>
      <c r="F12" s="282">
        <f>D12-E12</f>
        <v>439.82935930159556</v>
      </c>
      <c r="G12" s="282">
        <f>C12-F12</f>
        <v>399122.34796864371</v>
      </c>
    </row>
    <row r="13" spans="1:11" x14ac:dyDescent="0.3">
      <c r="A13" s="142">
        <v>3</v>
      </c>
      <c r="B13" s="252">
        <v>41820</v>
      </c>
      <c r="C13" s="282">
        <f t="shared" ref="C13:C76" si="0">G12</f>
        <v>399122.34796864371</v>
      </c>
      <c r="D13" s="282">
        <f t="shared" ref="D13:D76" si="1">$B$7</f>
        <v>2271.1560053880116</v>
      </c>
      <c r="E13" s="282">
        <f t="shared" ref="E13:E76" si="2">C13*$B$4/12</f>
        <v>1829.3107615229503</v>
      </c>
      <c r="F13" s="282">
        <f t="shared" ref="F13:F76" si="3">D13-E13</f>
        <v>441.84524386506132</v>
      </c>
      <c r="G13" s="282">
        <f t="shared" ref="G13:G76" si="4">C13-F13</f>
        <v>398680.50272477866</v>
      </c>
    </row>
    <row r="14" spans="1:11" x14ac:dyDescent="0.3">
      <c r="A14" s="142">
        <v>4</v>
      </c>
      <c r="B14" s="252">
        <v>41851</v>
      </c>
      <c r="C14" s="282">
        <f t="shared" si="0"/>
        <v>398680.50272477866</v>
      </c>
      <c r="D14" s="282">
        <f t="shared" si="1"/>
        <v>2271.1560053880116</v>
      </c>
      <c r="E14" s="282">
        <f t="shared" si="2"/>
        <v>1827.2856374885689</v>
      </c>
      <c r="F14" s="282">
        <f t="shared" si="3"/>
        <v>443.87036789944273</v>
      </c>
      <c r="G14" s="282">
        <f t="shared" si="4"/>
        <v>398236.63235687924</v>
      </c>
    </row>
    <row r="15" spans="1:11" x14ac:dyDescent="0.3">
      <c r="A15" s="142">
        <v>5</v>
      </c>
      <c r="B15" s="252">
        <v>41882</v>
      </c>
      <c r="C15" s="282">
        <f t="shared" si="0"/>
        <v>398236.63235687924</v>
      </c>
      <c r="D15" s="282">
        <f t="shared" si="1"/>
        <v>2271.1560053880116</v>
      </c>
      <c r="E15" s="282">
        <f t="shared" si="2"/>
        <v>1825.2512316356967</v>
      </c>
      <c r="F15" s="282">
        <f t="shared" si="3"/>
        <v>445.9047737523149</v>
      </c>
      <c r="G15" s="282">
        <f t="shared" si="4"/>
        <v>397790.72758312692</v>
      </c>
    </row>
    <row r="16" spans="1:11" x14ac:dyDescent="0.3">
      <c r="A16" s="142">
        <v>6</v>
      </c>
      <c r="B16" s="252">
        <v>41912</v>
      </c>
      <c r="C16" s="282">
        <f t="shared" si="0"/>
        <v>397790.72758312692</v>
      </c>
      <c r="D16" s="282">
        <f t="shared" si="1"/>
        <v>2271.1560053880116</v>
      </c>
      <c r="E16" s="282">
        <f t="shared" si="2"/>
        <v>1823.207501422665</v>
      </c>
      <c r="F16" s="282">
        <f t="shared" si="3"/>
        <v>447.94850396534662</v>
      </c>
      <c r="G16" s="282">
        <f t="shared" si="4"/>
        <v>397342.77907916158</v>
      </c>
    </row>
    <row r="17" spans="1:7" x14ac:dyDescent="0.3">
      <c r="A17" s="142">
        <v>7</v>
      </c>
      <c r="B17" s="252">
        <v>41943</v>
      </c>
      <c r="C17" s="282">
        <f t="shared" si="0"/>
        <v>397342.77907916158</v>
      </c>
      <c r="D17" s="282">
        <f t="shared" si="1"/>
        <v>2271.1560053880116</v>
      </c>
      <c r="E17" s="282">
        <f t="shared" si="2"/>
        <v>1821.1544041128238</v>
      </c>
      <c r="F17" s="282">
        <f t="shared" si="3"/>
        <v>450.0016012751878</v>
      </c>
      <c r="G17" s="282">
        <f t="shared" si="4"/>
        <v>396892.77747788641</v>
      </c>
    </row>
    <row r="18" spans="1:7" x14ac:dyDescent="0.3">
      <c r="A18" s="142">
        <v>8</v>
      </c>
      <c r="B18" s="252">
        <v>41973</v>
      </c>
      <c r="C18" s="282">
        <f t="shared" si="0"/>
        <v>396892.77747788641</v>
      </c>
      <c r="D18" s="282">
        <f t="shared" si="1"/>
        <v>2271.1560053880116</v>
      </c>
      <c r="E18" s="282">
        <f t="shared" si="2"/>
        <v>1819.0918967736461</v>
      </c>
      <c r="F18" s="282">
        <f t="shared" si="3"/>
        <v>452.06410861436552</v>
      </c>
      <c r="G18" s="282">
        <f t="shared" si="4"/>
        <v>396440.71336927207</v>
      </c>
    </row>
    <row r="19" spans="1:7" x14ac:dyDescent="0.3">
      <c r="A19" s="142">
        <v>9</v>
      </c>
      <c r="B19" s="252">
        <v>42004</v>
      </c>
      <c r="C19" s="282">
        <f t="shared" si="0"/>
        <v>396440.71336927207</v>
      </c>
      <c r="D19" s="282">
        <f t="shared" si="1"/>
        <v>2271.1560053880116</v>
      </c>
      <c r="E19" s="282">
        <f t="shared" si="2"/>
        <v>1817.0199362758303</v>
      </c>
      <c r="F19" s="282">
        <f t="shared" si="3"/>
        <v>454.1360691121813</v>
      </c>
      <c r="G19" s="282">
        <f t="shared" si="4"/>
        <v>395986.5773001599</v>
      </c>
    </row>
    <row r="20" spans="1:7" x14ac:dyDescent="0.3">
      <c r="A20" s="142">
        <v>10</v>
      </c>
      <c r="B20" s="252">
        <v>42035</v>
      </c>
      <c r="C20" s="282">
        <f t="shared" si="0"/>
        <v>395986.5773001599</v>
      </c>
      <c r="D20" s="282">
        <f t="shared" si="1"/>
        <v>2271.1560053880116</v>
      </c>
      <c r="E20" s="282">
        <f t="shared" si="2"/>
        <v>1814.9384792923995</v>
      </c>
      <c r="F20" s="282">
        <f t="shared" si="3"/>
        <v>456.21752609561213</v>
      </c>
      <c r="G20" s="282">
        <f t="shared" si="4"/>
        <v>395530.35977406427</v>
      </c>
    </row>
    <row r="21" spans="1:7" x14ac:dyDescent="0.3">
      <c r="A21" s="142">
        <v>11</v>
      </c>
      <c r="B21" s="252">
        <v>42063</v>
      </c>
      <c r="C21" s="282">
        <f t="shared" si="0"/>
        <v>395530.35977406427</v>
      </c>
      <c r="D21" s="282">
        <f t="shared" si="1"/>
        <v>2271.1560053880116</v>
      </c>
      <c r="E21" s="282">
        <f t="shared" si="2"/>
        <v>1812.8474822977944</v>
      </c>
      <c r="F21" s="282">
        <f t="shared" si="3"/>
        <v>458.30852309021725</v>
      </c>
      <c r="G21" s="282">
        <f t="shared" si="4"/>
        <v>395072.05125097407</v>
      </c>
    </row>
    <row r="22" spans="1:7" x14ac:dyDescent="0.3">
      <c r="A22" s="142">
        <v>12</v>
      </c>
      <c r="B22" s="252">
        <v>42094</v>
      </c>
      <c r="C22" s="282">
        <f t="shared" si="0"/>
        <v>395072.05125097407</v>
      </c>
      <c r="D22" s="282">
        <f t="shared" si="1"/>
        <v>2271.1560053880116</v>
      </c>
      <c r="E22" s="282">
        <f t="shared" si="2"/>
        <v>1810.7469015669647</v>
      </c>
      <c r="F22" s="282">
        <f t="shared" si="3"/>
        <v>460.40910382104698</v>
      </c>
      <c r="G22" s="282">
        <f t="shared" si="4"/>
        <v>394611.64214715303</v>
      </c>
    </row>
    <row r="23" spans="1:7" x14ac:dyDescent="0.3">
      <c r="A23" s="142">
        <v>13</v>
      </c>
      <c r="B23" s="252">
        <v>42124</v>
      </c>
      <c r="C23" s="282">
        <f t="shared" si="0"/>
        <v>394611.64214715303</v>
      </c>
      <c r="D23" s="282">
        <f t="shared" si="1"/>
        <v>2271.1560053880116</v>
      </c>
      <c r="E23" s="282">
        <f t="shared" si="2"/>
        <v>1808.6366931744515</v>
      </c>
      <c r="F23" s="282">
        <f t="shared" si="3"/>
        <v>462.51931221356017</v>
      </c>
      <c r="G23" s="282">
        <f t="shared" si="4"/>
        <v>394149.12283493945</v>
      </c>
    </row>
    <row r="24" spans="1:7" x14ac:dyDescent="0.3">
      <c r="A24" s="142">
        <v>14</v>
      </c>
      <c r="B24" s="252">
        <v>42155</v>
      </c>
      <c r="C24" s="282">
        <f t="shared" si="0"/>
        <v>394149.12283493945</v>
      </c>
      <c r="D24" s="282">
        <f t="shared" si="1"/>
        <v>2271.1560053880116</v>
      </c>
      <c r="E24" s="282">
        <f t="shared" si="2"/>
        <v>1806.5168129934725</v>
      </c>
      <c r="F24" s="282">
        <f t="shared" si="3"/>
        <v>464.63919239453912</v>
      </c>
      <c r="G24" s="282">
        <f t="shared" si="4"/>
        <v>393684.48364254489</v>
      </c>
    </row>
    <row r="25" spans="1:7" x14ac:dyDescent="0.3">
      <c r="A25" s="142">
        <v>15</v>
      </c>
      <c r="B25" s="252">
        <v>42185</v>
      </c>
      <c r="C25" s="282">
        <f t="shared" si="0"/>
        <v>393684.48364254489</v>
      </c>
      <c r="D25" s="282">
        <f t="shared" si="1"/>
        <v>2271.1560053880116</v>
      </c>
      <c r="E25" s="282">
        <f t="shared" si="2"/>
        <v>1804.3872166949975</v>
      </c>
      <c r="F25" s="282">
        <f t="shared" si="3"/>
        <v>466.76878869301413</v>
      </c>
      <c r="G25" s="282">
        <f t="shared" si="4"/>
        <v>393217.71485385188</v>
      </c>
    </row>
    <row r="26" spans="1:7" x14ac:dyDescent="0.3">
      <c r="A26" s="142">
        <v>16</v>
      </c>
      <c r="B26" s="252">
        <v>42216</v>
      </c>
      <c r="C26" s="282">
        <f t="shared" si="0"/>
        <v>393217.71485385188</v>
      </c>
      <c r="D26" s="282">
        <f t="shared" si="1"/>
        <v>2271.1560053880116</v>
      </c>
      <c r="E26" s="282">
        <f t="shared" si="2"/>
        <v>1802.247859746821</v>
      </c>
      <c r="F26" s="282">
        <f t="shared" si="3"/>
        <v>468.90814564119069</v>
      </c>
      <c r="G26" s="282">
        <f t="shared" si="4"/>
        <v>392748.80670821067</v>
      </c>
    </row>
    <row r="27" spans="1:7" x14ac:dyDescent="0.3">
      <c r="A27" s="142">
        <v>17</v>
      </c>
      <c r="B27" s="252">
        <v>42247</v>
      </c>
      <c r="C27" s="282">
        <f t="shared" si="0"/>
        <v>392748.80670821067</v>
      </c>
      <c r="D27" s="282">
        <f t="shared" si="1"/>
        <v>2271.1560053880116</v>
      </c>
      <c r="E27" s="282">
        <f t="shared" si="2"/>
        <v>1800.0986974126324</v>
      </c>
      <c r="F27" s="282">
        <f t="shared" si="3"/>
        <v>471.05730797537922</v>
      </c>
      <c r="G27" s="282">
        <f t="shared" si="4"/>
        <v>392277.74940023531</v>
      </c>
    </row>
    <row r="28" spans="1:7" x14ac:dyDescent="0.3">
      <c r="A28" s="142">
        <v>18</v>
      </c>
      <c r="B28" s="252">
        <v>42277</v>
      </c>
      <c r="C28" s="282">
        <f t="shared" si="0"/>
        <v>392277.74940023531</v>
      </c>
      <c r="D28" s="282">
        <f t="shared" si="1"/>
        <v>2271.1560053880116</v>
      </c>
      <c r="E28" s="282">
        <f t="shared" si="2"/>
        <v>1797.9396847510786</v>
      </c>
      <c r="F28" s="282">
        <f t="shared" si="3"/>
        <v>473.21632063693301</v>
      </c>
      <c r="G28" s="282">
        <f t="shared" si="4"/>
        <v>391804.53307959839</v>
      </c>
    </row>
    <row r="29" spans="1:7" x14ac:dyDescent="0.3">
      <c r="A29" s="142">
        <v>19</v>
      </c>
      <c r="B29" s="252">
        <v>42308</v>
      </c>
      <c r="C29" s="282">
        <f t="shared" si="0"/>
        <v>391804.53307959839</v>
      </c>
      <c r="D29" s="282">
        <f t="shared" si="1"/>
        <v>2271.1560053880116</v>
      </c>
      <c r="E29" s="282">
        <f t="shared" si="2"/>
        <v>1795.770776614826</v>
      </c>
      <c r="F29" s="282">
        <f t="shared" si="3"/>
        <v>475.38522877318564</v>
      </c>
      <c r="G29" s="282">
        <f t="shared" si="4"/>
        <v>391329.14785082522</v>
      </c>
    </row>
    <row r="30" spans="1:7" x14ac:dyDescent="0.3">
      <c r="A30" s="142">
        <v>20</v>
      </c>
      <c r="B30" s="252">
        <v>42338</v>
      </c>
      <c r="C30" s="282">
        <f t="shared" si="0"/>
        <v>391329.14785082522</v>
      </c>
      <c r="D30" s="282">
        <f t="shared" si="1"/>
        <v>2271.1560053880116</v>
      </c>
      <c r="E30" s="282">
        <f t="shared" si="2"/>
        <v>1793.5919276496154</v>
      </c>
      <c r="F30" s="282">
        <f t="shared" si="3"/>
        <v>477.56407773839624</v>
      </c>
      <c r="G30" s="282">
        <f t="shared" si="4"/>
        <v>390851.58377308684</v>
      </c>
    </row>
    <row r="31" spans="1:7" x14ac:dyDescent="0.3">
      <c r="A31" s="142">
        <v>21</v>
      </c>
      <c r="B31" s="252">
        <v>42369</v>
      </c>
      <c r="C31" s="282">
        <f t="shared" si="0"/>
        <v>390851.58377308684</v>
      </c>
      <c r="D31" s="282">
        <f t="shared" si="1"/>
        <v>2271.1560053880116</v>
      </c>
      <c r="E31" s="282">
        <f t="shared" si="2"/>
        <v>1791.4030922933146</v>
      </c>
      <c r="F31" s="282">
        <f t="shared" si="3"/>
        <v>479.75291309469708</v>
      </c>
      <c r="G31" s="282">
        <f t="shared" si="4"/>
        <v>390371.83085999213</v>
      </c>
    </row>
    <row r="32" spans="1:7" x14ac:dyDescent="0.3">
      <c r="A32" s="142">
        <v>22</v>
      </c>
      <c r="B32" s="252">
        <v>42400</v>
      </c>
      <c r="C32" s="282">
        <f t="shared" si="0"/>
        <v>390371.83085999213</v>
      </c>
      <c r="D32" s="282">
        <f t="shared" si="1"/>
        <v>2271.1560053880116</v>
      </c>
      <c r="E32" s="282">
        <f t="shared" si="2"/>
        <v>1789.2042247749639</v>
      </c>
      <c r="F32" s="282">
        <f t="shared" si="3"/>
        <v>481.95178061304773</v>
      </c>
      <c r="G32" s="282">
        <f t="shared" si="4"/>
        <v>389889.87907937908</v>
      </c>
    </row>
    <row r="33" spans="1:7" x14ac:dyDescent="0.3">
      <c r="A33" s="142">
        <v>23</v>
      </c>
      <c r="B33" s="252">
        <v>42429</v>
      </c>
      <c r="C33" s="282">
        <f t="shared" si="0"/>
        <v>389889.87907937908</v>
      </c>
      <c r="D33" s="282">
        <f t="shared" si="1"/>
        <v>2271.1560053880116</v>
      </c>
      <c r="E33" s="282">
        <f t="shared" si="2"/>
        <v>1786.995279113821</v>
      </c>
      <c r="F33" s="282">
        <f t="shared" si="3"/>
        <v>484.16072627419067</v>
      </c>
      <c r="G33" s="282">
        <f t="shared" si="4"/>
        <v>389405.71835310489</v>
      </c>
    </row>
    <row r="34" spans="1:7" x14ac:dyDescent="0.3">
      <c r="A34" s="142">
        <v>24</v>
      </c>
      <c r="B34" s="252">
        <v>42460</v>
      </c>
      <c r="C34" s="282">
        <f t="shared" si="0"/>
        <v>389405.71835310489</v>
      </c>
      <c r="D34" s="282">
        <f t="shared" si="1"/>
        <v>2271.1560053880116</v>
      </c>
      <c r="E34" s="282">
        <f t="shared" si="2"/>
        <v>1784.7762091183974</v>
      </c>
      <c r="F34" s="282">
        <f t="shared" si="3"/>
        <v>486.37979626961419</v>
      </c>
      <c r="G34" s="282">
        <f t="shared" si="4"/>
        <v>388919.33855683525</v>
      </c>
    </row>
    <row r="35" spans="1:7" x14ac:dyDescent="0.3">
      <c r="A35" s="142">
        <v>25</v>
      </c>
      <c r="B35" s="252">
        <v>42490</v>
      </c>
      <c r="C35" s="282">
        <f t="shared" si="0"/>
        <v>388919.33855683525</v>
      </c>
      <c r="D35" s="282">
        <f t="shared" si="1"/>
        <v>2271.1560053880116</v>
      </c>
      <c r="E35" s="282">
        <f t="shared" si="2"/>
        <v>1782.5469683854951</v>
      </c>
      <c r="F35" s="282">
        <f t="shared" si="3"/>
        <v>488.60903700251652</v>
      </c>
      <c r="G35" s="282">
        <f t="shared" si="4"/>
        <v>388430.72951983276</v>
      </c>
    </row>
    <row r="36" spans="1:7" x14ac:dyDescent="0.3">
      <c r="A36" s="142">
        <v>26</v>
      </c>
      <c r="B36" s="252">
        <v>42521</v>
      </c>
      <c r="C36" s="282">
        <f t="shared" si="0"/>
        <v>388430.72951983276</v>
      </c>
      <c r="D36" s="282">
        <f t="shared" si="1"/>
        <v>2271.1560053880116</v>
      </c>
      <c r="E36" s="282">
        <f t="shared" si="2"/>
        <v>1780.3075102992334</v>
      </c>
      <c r="F36" s="282">
        <f t="shared" si="3"/>
        <v>490.84849508877824</v>
      </c>
      <c r="G36" s="282">
        <f t="shared" si="4"/>
        <v>387939.88102474401</v>
      </c>
    </row>
    <row r="37" spans="1:7" x14ac:dyDescent="0.3">
      <c r="A37" s="142">
        <v>27</v>
      </c>
      <c r="B37" s="252">
        <v>42551</v>
      </c>
      <c r="C37" s="282">
        <f t="shared" si="0"/>
        <v>387939.88102474401</v>
      </c>
      <c r="D37" s="282">
        <f t="shared" si="1"/>
        <v>2271.1560053880116</v>
      </c>
      <c r="E37" s="282">
        <f t="shared" si="2"/>
        <v>1778.0577880300768</v>
      </c>
      <c r="F37" s="282">
        <f t="shared" si="3"/>
        <v>493.0982173579348</v>
      </c>
      <c r="G37" s="282">
        <f t="shared" si="4"/>
        <v>387446.78280738607</v>
      </c>
    </row>
    <row r="38" spans="1:7" x14ac:dyDescent="0.3">
      <c r="A38" s="142">
        <v>28</v>
      </c>
      <c r="B38" s="252">
        <v>42582</v>
      </c>
      <c r="C38" s="282">
        <f t="shared" si="0"/>
        <v>387446.78280738607</v>
      </c>
      <c r="D38" s="282">
        <f t="shared" si="1"/>
        <v>2271.1560053880116</v>
      </c>
      <c r="E38" s="282">
        <f t="shared" si="2"/>
        <v>1775.7977545338529</v>
      </c>
      <c r="F38" s="282">
        <f t="shared" si="3"/>
        <v>495.35825085415877</v>
      </c>
      <c r="G38" s="282">
        <f t="shared" si="4"/>
        <v>386951.42455653189</v>
      </c>
    </row>
    <row r="39" spans="1:7" x14ac:dyDescent="0.3">
      <c r="A39" s="142">
        <v>29</v>
      </c>
      <c r="B39" s="252">
        <v>42613</v>
      </c>
      <c r="C39" s="282">
        <f t="shared" si="0"/>
        <v>386951.42455653189</v>
      </c>
      <c r="D39" s="282">
        <f t="shared" si="1"/>
        <v>2271.1560053880116</v>
      </c>
      <c r="E39" s="282">
        <f t="shared" si="2"/>
        <v>1773.5273625507709</v>
      </c>
      <c r="F39" s="282">
        <f t="shared" si="3"/>
        <v>497.6286428372407</v>
      </c>
      <c r="G39" s="282">
        <f t="shared" si="4"/>
        <v>386453.79591369466</v>
      </c>
    </row>
    <row r="40" spans="1:7" x14ac:dyDescent="0.3">
      <c r="A40" s="142">
        <v>30</v>
      </c>
      <c r="B40" s="252">
        <v>42643</v>
      </c>
      <c r="C40" s="282">
        <f t="shared" si="0"/>
        <v>386453.79591369466</v>
      </c>
      <c r="D40" s="282">
        <f t="shared" si="1"/>
        <v>2271.1560053880116</v>
      </c>
      <c r="E40" s="282">
        <f t="shared" si="2"/>
        <v>1771.2465646044338</v>
      </c>
      <c r="F40" s="282">
        <f t="shared" si="3"/>
        <v>499.90944078357779</v>
      </c>
      <c r="G40" s="282">
        <f t="shared" si="4"/>
        <v>385953.88647291111</v>
      </c>
    </row>
    <row r="41" spans="1:7" x14ac:dyDescent="0.3">
      <c r="A41" s="142">
        <v>31</v>
      </c>
      <c r="B41" s="252">
        <v>42674</v>
      </c>
      <c r="C41" s="282">
        <f t="shared" si="0"/>
        <v>385953.88647291111</v>
      </c>
      <c r="D41" s="282">
        <f t="shared" si="1"/>
        <v>2271.1560053880116</v>
      </c>
      <c r="E41" s="282">
        <f t="shared" si="2"/>
        <v>1768.9553130008426</v>
      </c>
      <c r="F41" s="282">
        <f t="shared" si="3"/>
        <v>502.20069238716906</v>
      </c>
      <c r="G41" s="282">
        <f t="shared" si="4"/>
        <v>385451.68578052393</v>
      </c>
    </row>
    <row r="42" spans="1:7" x14ac:dyDescent="0.3">
      <c r="A42" s="142">
        <v>32</v>
      </c>
      <c r="B42" s="252">
        <v>42704</v>
      </c>
      <c r="C42" s="282">
        <f t="shared" si="0"/>
        <v>385451.68578052393</v>
      </c>
      <c r="D42" s="282">
        <f t="shared" si="1"/>
        <v>2271.1560053880116</v>
      </c>
      <c r="E42" s="282">
        <f t="shared" si="2"/>
        <v>1766.6535598274013</v>
      </c>
      <c r="F42" s="282">
        <f t="shared" si="3"/>
        <v>504.50244556061034</v>
      </c>
      <c r="G42" s="282">
        <f t="shared" si="4"/>
        <v>384947.18333496334</v>
      </c>
    </row>
    <row r="43" spans="1:7" x14ac:dyDescent="0.3">
      <c r="A43" s="142">
        <v>33</v>
      </c>
      <c r="B43" s="252">
        <v>42735</v>
      </c>
      <c r="C43" s="282">
        <f t="shared" si="0"/>
        <v>384947.18333496334</v>
      </c>
      <c r="D43" s="282">
        <f t="shared" si="1"/>
        <v>2271.1560053880116</v>
      </c>
      <c r="E43" s="282">
        <f t="shared" si="2"/>
        <v>1764.3412569519153</v>
      </c>
      <c r="F43" s="282">
        <f t="shared" si="3"/>
        <v>506.81474843609635</v>
      </c>
      <c r="G43" s="282">
        <f t="shared" si="4"/>
        <v>384440.36858652724</v>
      </c>
    </row>
    <row r="44" spans="1:7" x14ac:dyDescent="0.3">
      <c r="A44" s="142">
        <v>34</v>
      </c>
      <c r="B44" s="252">
        <v>42766</v>
      </c>
      <c r="C44" s="282">
        <f t="shared" si="0"/>
        <v>384440.36858652724</v>
      </c>
      <c r="D44" s="282">
        <f t="shared" si="1"/>
        <v>2271.1560053880116</v>
      </c>
      <c r="E44" s="282">
        <f t="shared" si="2"/>
        <v>1762.018356021583</v>
      </c>
      <c r="F44" s="282">
        <f t="shared" si="3"/>
        <v>509.1376493664286</v>
      </c>
      <c r="G44" s="282">
        <f t="shared" si="4"/>
        <v>383931.23093716078</v>
      </c>
    </row>
    <row r="45" spans="1:7" x14ac:dyDescent="0.3">
      <c r="A45" s="142">
        <v>35</v>
      </c>
      <c r="B45" s="252">
        <v>42794</v>
      </c>
      <c r="C45" s="282">
        <f t="shared" si="0"/>
        <v>383931.23093716078</v>
      </c>
      <c r="D45" s="282">
        <f t="shared" si="1"/>
        <v>2271.1560053880116</v>
      </c>
      <c r="E45" s="282">
        <f t="shared" si="2"/>
        <v>1759.6848084619869</v>
      </c>
      <c r="F45" s="282">
        <f t="shared" si="3"/>
        <v>511.47119692602473</v>
      </c>
      <c r="G45" s="282">
        <f t="shared" si="4"/>
        <v>383419.75974023476</v>
      </c>
    </row>
    <row r="46" spans="1:7" x14ac:dyDescent="0.3">
      <c r="A46" s="142">
        <v>36</v>
      </c>
      <c r="B46" s="252">
        <v>42825</v>
      </c>
      <c r="C46" s="282">
        <f t="shared" si="0"/>
        <v>383419.75974023476</v>
      </c>
      <c r="D46" s="282">
        <f t="shared" si="1"/>
        <v>2271.1560053880116</v>
      </c>
      <c r="E46" s="282">
        <f t="shared" si="2"/>
        <v>1757.3405654760761</v>
      </c>
      <c r="F46" s="282">
        <f t="shared" si="3"/>
        <v>513.81543991193553</v>
      </c>
      <c r="G46" s="282">
        <f t="shared" si="4"/>
        <v>382905.94430032285</v>
      </c>
    </row>
    <row r="47" spans="1:7" x14ac:dyDescent="0.3">
      <c r="A47" s="142">
        <v>37</v>
      </c>
      <c r="B47" s="252">
        <v>42855</v>
      </c>
      <c r="C47" s="282">
        <f t="shared" si="0"/>
        <v>382905.94430032285</v>
      </c>
      <c r="D47" s="282">
        <f t="shared" si="1"/>
        <v>2271.1560053880116</v>
      </c>
      <c r="E47" s="282">
        <f t="shared" si="2"/>
        <v>1754.9855780431465</v>
      </c>
      <c r="F47" s="282">
        <f t="shared" si="3"/>
        <v>516.17042734486517</v>
      </c>
      <c r="G47" s="282">
        <f t="shared" si="4"/>
        <v>382389.773872978</v>
      </c>
    </row>
    <row r="48" spans="1:7" x14ac:dyDescent="0.3">
      <c r="A48" s="142">
        <v>38</v>
      </c>
      <c r="B48" s="252">
        <v>42886</v>
      </c>
      <c r="C48" s="282">
        <f t="shared" si="0"/>
        <v>382389.773872978</v>
      </c>
      <c r="D48" s="282">
        <f t="shared" si="1"/>
        <v>2271.1560053880116</v>
      </c>
      <c r="E48" s="282">
        <f t="shared" si="2"/>
        <v>1752.6197969178158</v>
      </c>
      <c r="F48" s="282">
        <f t="shared" si="3"/>
        <v>518.53620847019579</v>
      </c>
      <c r="G48" s="282">
        <f t="shared" si="4"/>
        <v>381871.23766450782</v>
      </c>
    </row>
    <row r="49" spans="1:7" x14ac:dyDescent="0.3">
      <c r="A49" s="142">
        <v>39</v>
      </c>
      <c r="B49" s="252">
        <v>42916</v>
      </c>
      <c r="C49" s="282">
        <f t="shared" si="0"/>
        <v>381871.23766450782</v>
      </c>
      <c r="D49" s="282">
        <f t="shared" si="1"/>
        <v>2271.1560053880116</v>
      </c>
      <c r="E49" s="282">
        <f t="shared" si="2"/>
        <v>1750.2431726289942</v>
      </c>
      <c r="F49" s="282">
        <f t="shared" si="3"/>
        <v>520.91283275901742</v>
      </c>
      <c r="G49" s="282">
        <f t="shared" si="4"/>
        <v>381350.32483174879</v>
      </c>
    </row>
    <row r="50" spans="1:7" x14ac:dyDescent="0.3">
      <c r="A50" s="142">
        <v>40</v>
      </c>
      <c r="B50" s="252">
        <v>42947</v>
      </c>
      <c r="C50" s="282">
        <f t="shared" si="0"/>
        <v>381350.32483174879</v>
      </c>
      <c r="D50" s="282">
        <f t="shared" si="1"/>
        <v>2271.1560053880116</v>
      </c>
      <c r="E50" s="282">
        <f t="shared" si="2"/>
        <v>1747.8556554788486</v>
      </c>
      <c r="F50" s="282">
        <f t="shared" si="3"/>
        <v>523.30034990916306</v>
      </c>
      <c r="G50" s="282">
        <f t="shared" si="4"/>
        <v>380827.02448183962</v>
      </c>
    </row>
    <row r="51" spans="1:7" x14ac:dyDescent="0.3">
      <c r="A51" s="142">
        <v>41</v>
      </c>
      <c r="B51" s="252">
        <v>42978</v>
      </c>
      <c r="C51" s="282">
        <f t="shared" si="0"/>
        <v>380827.02448183962</v>
      </c>
      <c r="D51" s="282">
        <f t="shared" si="1"/>
        <v>2271.1560053880116</v>
      </c>
      <c r="E51" s="282">
        <f t="shared" si="2"/>
        <v>1745.457195541765</v>
      </c>
      <c r="F51" s="282">
        <f t="shared" si="3"/>
        <v>525.6988098462466</v>
      </c>
      <c r="G51" s="282">
        <f t="shared" si="4"/>
        <v>380301.32567199337</v>
      </c>
    </row>
    <row r="52" spans="1:7" x14ac:dyDescent="0.3">
      <c r="A52" s="142">
        <v>42</v>
      </c>
      <c r="B52" s="252">
        <v>43008</v>
      </c>
      <c r="C52" s="282">
        <f t="shared" si="0"/>
        <v>380301.32567199337</v>
      </c>
      <c r="D52" s="282">
        <f t="shared" si="1"/>
        <v>2271.1560053880116</v>
      </c>
      <c r="E52" s="282">
        <f t="shared" si="2"/>
        <v>1743.0477426633031</v>
      </c>
      <c r="F52" s="282">
        <f t="shared" si="3"/>
        <v>528.10826272470854</v>
      </c>
      <c r="G52" s="282">
        <f t="shared" si="4"/>
        <v>379773.21740926866</v>
      </c>
    </row>
    <row r="53" spans="1:7" x14ac:dyDescent="0.3">
      <c r="A53" s="142">
        <v>43</v>
      </c>
      <c r="B53" s="252">
        <v>43039</v>
      </c>
      <c r="C53" s="282">
        <f t="shared" si="0"/>
        <v>379773.21740926866</v>
      </c>
      <c r="D53" s="282">
        <f t="shared" si="1"/>
        <v>2271.1560053880116</v>
      </c>
      <c r="E53" s="282">
        <f t="shared" si="2"/>
        <v>1740.6272464591482</v>
      </c>
      <c r="F53" s="282">
        <f t="shared" si="3"/>
        <v>530.52875892886345</v>
      </c>
      <c r="G53" s="282">
        <f t="shared" si="4"/>
        <v>379242.68865033978</v>
      </c>
    </row>
    <row r="54" spans="1:7" x14ac:dyDescent="0.3">
      <c r="A54" s="142">
        <v>44</v>
      </c>
      <c r="B54" s="252">
        <v>43069</v>
      </c>
      <c r="C54" s="282">
        <f t="shared" si="0"/>
        <v>379242.68865033978</v>
      </c>
      <c r="D54" s="282">
        <f t="shared" si="1"/>
        <v>2271.1560053880116</v>
      </c>
      <c r="E54" s="282">
        <f t="shared" si="2"/>
        <v>1738.1956563140575</v>
      </c>
      <c r="F54" s="282">
        <f t="shared" si="3"/>
        <v>532.96034907395415</v>
      </c>
      <c r="G54" s="282">
        <f t="shared" si="4"/>
        <v>378709.7283012658</v>
      </c>
    </row>
    <row r="55" spans="1:7" x14ac:dyDescent="0.3">
      <c r="A55" s="142">
        <v>45</v>
      </c>
      <c r="B55" s="252">
        <v>43100</v>
      </c>
      <c r="C55" s="282">
        <f t="shared" si="0"/>
        <v>378709.7283012658</v>
      </c>
      <c r="D55" s="282">
        <f t="shared" si="1"/>
        <v>2271.1560053880116</v>
      </c>
      <c r="E55" s="282">
        <f t="shared" si="2"/>
        <v>1735.7529213808018</v>
      </c>
      <c r="F55" s="282">
        <f t="shared" si="3"/>
        <v>535.40308400720983</v>
      </c>
      <c r="G55" s="282">
        <f t="shared" si="4"/>
        <v>378174.32521725859</v>
      </c>
    </row>
    <row r="56" spans="1:7" x14ac:dyDescent="0.3">
      <c r="A56" s="142">
        <v>46</v>
      </c>
      <c r="B56" s="252">
        <v>43131</v>
      </c>
      <c r="C56" s="282">
        <f t="shared" si="0"/>
        <v>378174.32521725859</v>
      </c>
      <c r="D56" s="282">
        <f t="shared" si="1"/>
        <v>2271.1560053880116</v>
      </c>
      <c r="E56" s="282">
        <f t="shared" si="2"/>
        <v>1733.2989905791019</v>
      </c>
      <c r="F56" s="282">
        <f t="shared" si="3"/>
        <v>537.85701480890975</v>
      </c>
      <c r="G56" s="282">
        <f t="shared" si="4"/>
        <v>377636.46820244967</v>
      </c>
    </row>
    <row r="57" spans="1:7" x14ac:dyDescent="0.3">
      <c r="A57" s="142">
        <v>47</v>
      </c>
      <c r="B57" s="252">
        <v>43159</v>
      </c>
      <c r="C57" s="282">
        <f t="shared" si="0"/>
        <v>377636.46820244967</v>
      </c>
      <c r="D57" s="282">
        <f t="shared" si="1"/>
        <v>2271.1560053880116</v>
      </c>
      <c r="E57" s="282">
        <f t="shared" si="2"/>
        <v>1730.8338125945611</v>
      </c>
      <c r="F57" s="282">
        <f t="shared" si="3"/>
        <v>540.32219279345054</v>
      </c>
      <c r="G57" s="282">
        <f t="shared" si="4"/>
        <v>377096.14600965619</v>
      </c>
    </row>
    <row r="58" spans="1:7" x14ac:dyDescent="0.3">
      <c r="A58" s="142">
        <v>48</v>
      </c>
      <c r="B58" s="252">
        <v>43190</v>
      </c>
      <c r="C58" s="282">
        <f t="shared" si="0"/>
        <v>377096.14600965619</v>
      </c>
      <c r="D58" s="282">
        <f t="shared" si="1"/>
        <v>2271.1560053880116</v>
      </c>
      <c r="E58" s="282">
        <f t="shared" si="2"/>
        <v>1728.3573358775909</v>
      </c>
      <c r="F58" s="282">
        <f t="shared" si="3"/>
        <v>542.79866951042072</v>
      </c>
      <c r="G58" s="282">
        <f t="shared" si="4"/>
        <v>376553.34734014579</v>
      </c>
    </row>
    <row r="59" spans="1:7" x14ac:dyDescent="0.3">
      <c r="A59" s="142">
        <v>49</v>
      </c>
      <c r="B59" s="252">
        <v>43220</v>
      </c>
      <c r="C59" s="282">
        <f t="shared" si="0"/>
        <v>376553.34734014579</v>
      </c>
      <c r="D59" s="282">
        <f t="shared" si="1"/>
        <v>2271.1560053880116</v>
      </c>
      <c r="E59" s="282">
        <f t="shared" si="2"/>
        <v>1725.8695086423349</v>
      </c>
      <c r="F59" s="282">
        <f t="shared" si="3"/>
        <v>545.28649674567669</v>
      </c>
      <c r="G59" s="282">
        <f t="shared" si="4"/>
        <v>376008.06084340013</v>
      </c>
    </row>
    <row r="60" spans="1:7" x14ac:dyDescent="0.3">
      <c r="A60" s="142">
        <v>50</v>
      </c>
      <c r="B60" s="252">
        <v>43251</v>
      </c>
      <c r="C60" s="282">
        <f t="shared" si="0"/>
        <v>376008.06084340013</v>
      </c>
      <c r="D60" s="282">
        <f t="shared" si="1"/>
        <v>2271.1560053880116</v>
      </c>
      <c r="E60" s="282">
        <f t="shared" si="2"/>
        <v>1723.3702788655839</v>
      </c>
      <c r="F60" s="282">
        <f t="shared" si="3"/>
        <v>547.78572652242769</v>
      </c>
      <c r="G60" s="282">
        <f t="shared" si="4"/>
        <v>375460.27511687769</v>
      </c>
    </row>
    <row r="61" spans="1:7" x14ac:dyDescent="0.3">
      <c r="A61" s="142">
        <v>51</v>
      </c>
      <c r="B61" s="252">
        <v>43281</v>
      </c>
      <c r="C61" s="282">
        <f t="shared" si="0"/>
        <v>375460.27511687769</v>
      </c>
      <c r="D61" s="282">
        <f t="shared" si="1"/>
        <v>2271.1560053880116</v>
      </c>
      <c r="E61" s="282">
        <f t="shared" si="2"/>
        <v>1720.8595942856894</v>
      </c>
      <c r="F61" s="282">
        <f t="shared" si="3"/>
        <v>550.29641110232228</v>
      </c>
      <c r="G61" s="282">
        <f t="shared" si="4"/>
        <v>374909.97870577534</v>
      </c>
    </row>
    <row r="62" spans="1:7" x14ac:dyDescent="0.3">
      <c r="A62" s="142">
        <v>52</v>
      </c>
      <c r="B62" s="252">
        <v>43312</v>
      </c>
      <c r="C62" s="282">
        <f t="shared" si="0"/>
        <v>374909.97870577534</v>
      </c>
      <c r="D62" s="282">
        <f t="shared" si="1"/>
        <v>2271.1560053880116</v>
      </c>
      <c r="E62" s="282">
        <f t="shared" si="2"/>
        <v>1718.3374024014704</v>
      </c>
      <c r="F62" s="282">
        <f t="shared" si="3"/>
        <v>552.81860298654124</v>
      </c>
      <c r="G62" s="282">
        <f t="shared" si="4"/>
        <v>374357.16010278882</v>
      </c>
    </row>
    <row r="63" spans="1:7" x14ac:dyDescent="0.3">
      <c r="A63" s="142">
        <v>53</v>
      </c>
      <c r="B63" s="252">
        <v>43343</v>
      </c>
      <c r="C63" s="282">
        <f t="shared" si="0"/>
        <v>374357.16010278882</v>
      </c>
      <c r="D63" s="282">
        <f t="shared" si="1"/>
        <v>2271.1560053880116</v>
      </c>
      <c r="E63" s="282">
        <f t="shared" si="2"/>
        <v>1715.8036504711154</v>
      </c>
      <c r="F63" s="282">
        <f t="shared" si="3"/>
        <v>555.35235491689627</v>
      </c>
      <c r="G63" s="282">
        <f t="shared" si="4"/>
        <v>373801.80774787191</v>
      </c>
    </row>
    <row r="64" spans="1:7" x14ac:dyDescent="0.3">
      <c r="A64" s="142">
        <v>54</v>
      </c>
      <c r="B64" s="252">
        <v>43373</v>
      </c>
      <c r="C64" s="282">
        <f t="shared" si="0"/>
        <v>373801.80774787191</v>
      </c>
      <c r="D64" s="282">
        <f t="shared" si="1"/>
        <v>2271.1560053880116</v>
      </c>
      <c r="E64" s="282">
        <f t="shared" si="2"/>
        <v>1713.2582855110795</v>
      </c>
      <c r="F64" s="282">
        <f t="shared" si="3"/>
        <v>557.89771987693211</v>
      </c>
      <c r="G64" s="282">
        <f t="shared" si="4"/>
        <v>373243.91002799495</v>
      </c>
    </row>
    <row r="65" spans="1:7" x14ac:dyDescent="0.3">
      <c r="A65" s="142">
        <v>55</v>
      </c>
      <c r="B65" s="252">
        <v>43404</v>
      </c>
      <c r="C65" s="282">
        <f t="shared" si="0"/>
        <v>373243.91002799495</v>
      </c>
      <c r="D65" s="282">
        <f t="shared" si="1"/>
        <v>2271.1560053880116</v>
      </c>
      <c r="E65" s="282">
        <f t="shared" si="2"/>
        <v>1710.7012542949769</v>
      </c>
      <c r="F65" s="282">
        <f t="shared" si="3"/>
        <v>560.4547510930347</v>
      </c>
      <c r="G65" s="282">
        <f t="shared" si="4"/>
        <v>372683.45527690189</v>
      </c>
    </row>
    <row r="66" spans="1:7" x14ac:dyDescent="0.3">
      <c r="A66" s="142">
        <v>56</v>
      </c>
      <c r="B66" s="252">
        <v>43434</v>
      </c>
      <c r="C66" s="282">
        <f t="shared" si="0"/>
        <v>372683.45527690189</v>
      </c>
      <c r="D66" s="282">
        <f t="shared" si="1"/>
        <v>2271.1560053880116</v>
      </c>
      <c r="E66" s="282">
        <f t="shared" si="2"/>
        <v>1708.132503352467</v>
      </c>
      <c r="F66" s="282">
        <f t="shared" si="3"/>
        <v>563.02350203554465</v>
      </c>
      <c r="G66" s="282">
        <f t="shared" si="4"/>
        <v>372120.43177486636</v>
      </c>
    </row>
    <row r="67" spans="1:7" x14ac:dyDescent="0.3">
      <c r="A67" s="142">
        <v>57</v>
      </c>
      <c r="B67" s="252">
        <v>43465</v>
      </c>
      <c r="C67" s="282">
        <f t="shared" si="0"/>
        <v>372120.43177486636</v>
      </c>
      <c r="D67" s="282">
        <f t="shared" si="1"/>
        <v>2271.1560053880116</v>
      </c>
      <c r="E67" s="282">
        <f t="shared" si="2"/>
        <v>1705.5519789681375</v>
      </c>
      <c r="F67" s="282">
        <f t="shared" si="3"/>
        <v>565.60402641987412</v>
      </c>
      <c r="G67" s="282">
        <f t="shared" si="4"/>
        <v>371554.82774844649</v>
      </c>
    </row>
    <row r="68" spans="1:7" x14ac:dyDescent="0.3">
      <c r="A68" s="142">
        <v>58</v>
      </c>
      <c r="B68" s="252">
        <v>43496</v>
      </c>
      <c r="C68" s="282">
        <f t="shared" si="0"/>
        <v>371554.82774844649</v>
      </c>
      <c r="D68" s="282">
        <f t="shared" si="1"/>
        <v>2271.1560053880116</v>
      </c>
      <c r="E68" s="282">
        <f t="shared" si="2"/>
        <v>1702.9596271803796</v>
      </c>
      <c r="F68" s="282">
        <f t="shared" si="3"/>
        <v>568.19637820763205</v>
      </c>
      <c r="G68" s="282">
        <f t="shared" si="4"/>
        <v>370986.63137023884</v>
      </c>
    </row>
    <row r="69" spans="1:7" x14ac:dyDescent="0.3">
      <c r="A69" s="142">
        <v>59</v>
      </c>
      <c r="B69" s="252">
        <v>43524</v>
      </c>
      <c r="C69" s="282">
        <f t="shared" si="0"/>
        <v>370986.63137023884</v>
      </c>
      <c r="D69" s="282">
        <f t="shared" si="1"/>
        <v>2271.1560053880116</v>
      </c>
      <c r="E69" s="282">
        <f t="shared" si="2"/>
        <v>1700.3553937802615</v>
      </c>
      <c r="F69" s="282">
        <f t="shared" si="3"/>
        <v>570.80061160775017</v>
      </c>
      <c r="G69" s="282">
        <f t="shared" si="4"/>
        <v>370415.83075863111</v>
      </c>
    </row>
    <row r="70" spans="1:7" x14ac:dyDescent="0.3">
      <c r="A70" s="142">
        <v>60</v>
      </c>
      <c r="B70" s="252">
        <v>43555</v>
      </c>
      <c r="C70" s="282">
        <f t="shared" si="0"/>
        <v>370415.83075863111</v>
      </c>
      <c r="D70" s="282">
        <f t="shared" si="1"/>
        <v>2271.1560053880116</v>
      </c>
      <c r="E70" s="282">
        <f t="shared" si="2"/>
        <v>1697.7392243103925</v>
      </c>
      <c r="F70" s="282">
        <f t="shared" si="3"/>
        <v>573.41678107761913</v>
      </c>
      <c r="G70" s="282">
        <f t="shared" si="4"/>
        <v>369842.41397755349</v>
      </c>
    </row>
    <row r="71" spans="1:7" x14ac:dyDescent="0.3">
      <c r="A71" s="142">
        <v>61</v>
      </c>
      <c r="B71" s="252">
        <v>43585</v>
      </c>
      <c r="C71" s="282">
        <f t="shared" si="0"/>
        <v>369842.41397755349</v>
      </c>
      <c r="D71" s="282">
        <f t="shared" si="1"/>
        <v>2271.1560053880116</v>
      </c>
      <c r="E71" s="282">
        <f t="shared" si="2"/>
        <v>1695.1110640637869</v>
      </c>
      <c r="F71" s="282">
        <f t="shared" si="3"/>
        <v>576.04494132422474</v>
      </c>
      <c r="G71" s="282">
        <f t="shared" si="4"/>
        <v>369266.36903622927</v>
      </c>
    </row>
    <row r="72" spans="1:7" x14ac:dyDescent="0.3">
      <c r="A72" s="142">
        <v>62</v>
      </c>
      <c r="B72" s="252">
        <v>43616</v>
      </c>
      <c r="C72" s="282">
        <f t="shared" si="0"/>
        <v>369266.36903622927</v>
      </c>
      <c r="D72" s="282">
        <f t="shared" si="1"/>
        <v>2271.1560053880116</v>
      </c>
      <c r="E72" s="282">
        <f t="shared" si="2"/>
        <v>1692.4708580827175</v>
      </c>
      <c r="F72" s="282">
        <f t="shared" si="3"/>
        <v>578.68514730529409</v>
      </c>
      <c r="G72" s="282">
        <f t="shared" si="4"/>
        <v>368687.68388892396</v>
      </c>
    </row>
    <row r="73" spans="1:7" x14ac:dyDescent="0.3">
      <c r="A73" s="142">
        <v>63</v>
      </c>
      <c r="B73" s="252">
        <v>43646</v>
      </c>
      <c r="C73" s="282">
        <f t="shared" si="0"/>
        <v>368687.68388892396</v>
      </c>
      <c r="D73" s="282">
        <f t="shared" si="1"/>
        <v>2271.1560053880116</v>
      </c>
      <c r="E73" s="282">
        <f t="shared" si="2"/>
        <v>1689.8185511575682</v>
      </c>
      <c r="F73" s="282">
        <f t="shared" si="3"/>
        <v>581.33745423044343</v>
      </c>
      <c r="G73" s="282">
        <f t="shared" si="4"/>
        <v>368106.34643469349</v>
      </c>
    </row>
    <row r="74" spans="1:7" x14ac:dyDescent="0.3">
      <c r="A74" s="142">
        <v>64</v>
      </c>
      <c r="B74" s="252">
        <v>43677</v>
      </c>
      <c r="C74" s="282">
        <f t="shared" si="0"/>
        <v>368106.34643469349</v>
      </c>
      <c r="D74" s="282">
        <f t="shared" si="1"/>
        <v>2271.1560053880116</v>
      </c>
      <c r="E74" s="282">
        <f t="shared" si="2"/>
        <v>1687.1540878256785</v>
      </c>
      <c r="F74" s="282">
        <f t="shared" si="3"/>
        <v>584.00191756233312</v>
      </c>
      <c r="G74" s="282">
        <f t="shared" si="4"/>
        <v>367522.34451713116</v>
      </c>
    </row>
    <row r="75" spans="1:7" x14ac:dyDescent="0.3">
      <c r="A75" s="142">
        <v>65</v>
      </c>
      <c r="B75" s="252">
        <v>43708</v>
      </c>
      <c r="C75" s="282">
        <f t="shared" si="0"/>
        <v>367522.34451713116</v>
      </c>
      <c r="D75" s="282">
        <f t="shared" si="1"/>
        <v>2271.1560053880116</v>
      </c>
      <c r="E75" s="282">
        <f t="shared" si="2"/>
        <v>1684.4774123701845</v>
      </c>
      <c r="F75" s="282">
        <f t="shared" si="3"/>
        <v>586.6785930178271</v>
      </c>
      <c r="G75" s="282">
        <f t="shared" si="4"/>
        <v>366935.66592411336</v>
      </c>
    </row>
    <row r="76" spans="1:7" x14ac:dyDescent="0.3">
      <c r="A76" s="142">
        <v>66</v>
      </c>
      <c r="B76" s="252">
        <v>43738</v>
      </c>
      <c r="C76" s="282">
        <f t="shared" si="0"/>
        <v>366935.66592411336</v>
      </c>
      <c r="D76" s="282">
        <f t="shared" si="1"/>
        <v>2271.1560053880116</v>
      </c>
      <c r="E76" s="282">
        <f t="shared" si="2"/>
        <v>1681.7884688188531</v>
      </c>
      <c r="F76" s="282">
        <f t="shared" si="3"/>
        <v>589.36753656915857</v>
      </c>
      <c r="G76" s="282">
        <f t="shared" si="4"/>
        <v>366346.29838754423</v>
      </c>
    </row>
    <row r="77" spans="1:7" x14ac:dyDescent="0.3">
      <c r="A77" s="142">
        <v>67</v>
      </c>
      <c r="B77" s="252">
        <v>43769</v>
      </c>
      <c r="C77" s="282">
        <f t="shared" ref="C77:C140" si="5">G76</f>
        <v>366346.29838754423</v>
      </c>
      <c r="D77" s="282">
        <f t="shared" ref="D77:D140" si="6">$B$7</f>
        <v>2271.1560053880116</v>
      </c>
      <c r="E77" s="282">
        <f t="shared" ref="E77:E140" si="7">C77*$B$4/12</f>
        <v>1679.0872009429111</v>
      </c>
      <c r="F77" s="282">
        <f t="shared" ref="F77:F140" si="8">D77-E77</f>
        <v>592.06880444510057</v>
      </c>
      <c r="G77" s="282">
        <f t="shared" ref="G77:G140" si="9">C77-F77</f>
        <v>365754.22958309914</v>
      </c>
    </row>
    <row r="78" spans="1:7" x14ac:dyDescent="0.3">
      <c r="A78" s="142">
        <v>68</v>
      </c>
      <c r="B78" s="252">
        <v>43799</v>
      </c>
      <c r="C78" s="282">
        <f t="shared" si="5"/>
        <v>365754.22958309914</v>
      </c>
      <c r="D78" s="282">
        <f t="shared" si="6"/>
        <v>2271.1560053880116</v>
      </c>
      <c r="E78" s="282">
        <f t="shared" si="7"/>
        <v>1676.3735522558711</v>
      </c>
      <c r="F78" s="282">
        <f t="shared" si="8"/>
        <v>594.78245313214052</v>
      </c>
      <c r="G78" s="282">
        <f t="shared" si="9"/>
        <v>365159.44712996698</v>
      </c>
    </row>
    <row r="79" spans="1:7" x14ac:dyDescent="0.3">
      <c r="A79" s="142">
        <v>69</v>
      </c>
      <c r="B79" s="252">
        <v>43830</v>
      </c>
      <c r="C79" s="282">
        <f t="shared" si="5"/>
        <v>365159.44712996698</v>
      </c>
      <c r="D79" s="282">
        <f t="shared" si="6"/>
        <v>2271.1560053880116</v>
      </c>
      <c r="E79" s="282">
        <f t="shared" si="7"/>
        <v>1673.6474660123486</v>
      </c>
      <c r="F79" s="282">
        <f t="shared" si="8"/>
        <v>597.50853937566308</v>
      </c>
      <c r="G79" s="282">
        <f t="shared" si="9"/>
        <v>364561.93859059131</v>
      </c>
    </row>
    <row r="80" spans="1:7" x14ac:dyDescent="0.3">
      <c r="A80" s="142">
        <v>70</v>
      </c>
      <c r="B80" s="252">
        <v>43861</v>
      </c>
      <c r="C80" s="282">
        <f t="shared" si="5"/>
        <v>364561.93859059131</v>
      </c>
      <c r="D80" s="282">
        <f t="shared" si="6"/>
        <v>2271.1560053880116</v>
      </c>
      <c r="E80" s="282">
        <f t="shared" si="7"/>
        <v>1670.9088852068769</v>
      </c>
      <c r="F80" s="282">
        <f t="shared" si="8"/>
        <v>600.24712018113473</v>
      </c>
      <c r="G80" s="282">
        <f t="shared" si="9"/>
        <v>363961.69147041015</v>
      </c>
    </row>
    <row r="81" spans="1:7" x14ac:dyDescent="0.3">
      <c r="A81" s="142">
        <v>71</v>
      </c>
      <c r="B81" s="252">
        <v>43890</v>
      </c>
      <c r="C81" s="282">
        <f t="shared" si="5"/>
        <v>363961.69147041015</v>
      </c>
      <c r="D81" s="282">
        <f t="shared" si="6"/>
        <v>2271.1560053880116</v>
      </c>
      <c r="E81" s="282">
        <f t="shared" si="7"/>
        <v>1668.1577525727132</v>
      </c>
      <c r="F81" s="282">
        <f t="shared" si="8"/>
        <v>602.99825281529843</v>
      </c>
      <c r="G81" s="282">
        <f t="shared" si="9"/>
        <v>363358.69321759488</v>
      </c>
    </row>
    <row r="82" spans="1:7" x14ac:dyDescent="0.3">
      <c r="A82" s="142">
        <v>72</v>
      </c>
      <c r="B82" s="252">
        <v>43921</v>
      </c>
      <c r="C82" s="282">
        <f t="shared" si="5"/>
        <v>363358.69321759488</v>
      </c>
      <c r="D82" s="282">
        <f t="shared" si="6"/>
        <v>2271.1560053880116</v>
      </c>
      <c r="E82" s="282">
        <f t="shared" si="7"/>
        <v>1665.3940105806432</v>
      </c>
      <c r="F82" s="282">
        <f t="shared" si="8"/>
        <v>605.76199480736841</v>
      </c>
      <c r="G82" s="282">
        <f t="shared" si="9"/>
        <v>362752.93122278753</v>
      </c>
    </row>
    <row r="83" spans="1:7" x14ac:dyDescent="0.3">
      <c r="A83" s="142">
        <v>73</v>
      </c>
      <c r="B83" s="252">
        <v>43951</v>
      </c>
      <c r="C83" s="282">
        <f t="shared" si="5"/>
        <v>362752.93122278753</v>
      </c>
      <c r="D83" s="282">
        <f t="shared" si="6"/>
        <v>2271.1560053880116</v>
      </c>
      <c r="E83" s="282">
        <f t="shared" si="7"/>
        <v>1662.6176014377761</v>
      </c>
      <c r="F83" s="282">
        <f t="shared" si="8"/>
        <v>608.53840395023553</v>
      </c>
      <c r="G83" s="282">
        <f t="shared" si="9"/>
        <v>362144.39281883731</v>
      </c>
    </row>
    <row r="84" spans="1:7" x14ac:dyDescent="0.3">
      <c r="A84" s="142">
        <v>74</v>
      </c>
      <c r="B84" s="252">
        <v>43982</v>
      </c>
      <c r="C84" s="282">
        <f t="shared" si="5"/>
        <v>362144.39281883731</v>
      </c>
      <c r="D84" s="282">
        <f t="shared" si="6"/>
        <v>2271.1560053880116</v>
      </c>
      <c r="E84" s="282">
        <f t="shared" si="7"/>
        <v>1659.8284670863377</v>
      </c>
      <c r="F84" s="282">
        <f t="shared" si="8"/>
        <v>611.32753830167394</v>
      </c>
      <c r="G84" s="282">
        <f t="shared" si="9"/>
        <v>361533.06528053561</v>
      </c>
    </row>
    <row r="85" spans="1:7" x14ac:dyDescent="0.3">
      <c r="A85" s="142">
        <v>75</v>
      </c>
      <c r="B85" s="252">
        <v>44012</v>
      </c>
      <c r="C85" s="282">
        <f t="shared" si="5"/>
        <v>361533.06528053561</v>
      </c>
      <c r="D85" s="282">
        <f t="shared" si="6"/>
        <v>2271.1560053880116</v>
      </c>
      <c r="E85" s="282">
        <f t="shared" si="7"/>
        <v>1657.0265492024548</v>
      </c>
      <c r="F85" s="282">
        <f t="shared" si="8"/>
        <v>614.12945618555682</v>
      </c>
      <c r="G85" s="282">
        <f t="shared" si="9"/>
        <v>360918.93582435005</v>
      </c>
    </row>
    <row r="86" spans="1:7" x14ac:dyDescent="0.3">
      <c r="A86" s="142">
        <v>76</v>
      </c>
      <c r="B86" s="252">
        <v>44043</v>
      </c>
      <c r="C86" s="282">
        <f t="shared" si="5"/>
        <v>360918.93582435005</v>
      </c>
      <c r="D86" s="282">
        <f t="shared" si="6"/>
        <v>2271.1560053880116</v>
      </c>
      <c r="E86" s="282">
        <f t="shared" si="7"/>
        <v>1654.2117891949376</v>
      </c>
      <c r="F86" s="282">
        <f t="shared" si="8"/>
        <v>616.944216193074</v>
      </c>
      <c r="G86" s="282">
        <f t="shared" si="9"/>
        <v>360301.991608157</v>
      </c>
    </row>
    <row r="87" spans="1:7" x14ac:dyDescent="0.3">
      <c r="A87" s="142">
        <v>77</v>
      </c>
      <c r="B87" s="252">
        <v>44074</v>
      </c>
      <c r="C87" s="282">
        <f t="shared" si="5"/>
        <v>360301.991608157</v>
      </c>
      <c r="D87" s="282">
        <f t="shared" si="6"/>
        <v>2271.1560053880116</v>
      </c>
      <c r="E87" s="282">
        <f t="shared" si="7"/>
        <v>1651.384128204053</v>
      </c>
      <c r="F87" s="282">
        <f t="shared" si="8"/>
        <v>619.77187718395862</v>
      </c>
      <c r="G87" s="282">
        <f t="shared" si="9"/>
        <v>359682.21973097301</v>
      </c>
    </row>
    <row r="88" spans="1:7" x14ac:dyDescent="0.3">
      <c r="A88" s="142">
        <v>78</v>
      </c>
      <c r="B88" s="252">
        <v>44104</v>
      </c>
      <c r="C88" s="282">
        <f t="shared" si="5"/>
        <v>359682.21973097301</v>
      </c>
      <c r="D88" s="282">
        <f t="shared" si="6"/>
        <v>2271.1560053880116</v>
      </c>
      <c r="E88" s="282">
        <f t="shared" si="7"/>
        <v>1648.543507100293</v>
      </c>
      <c r="F88" s="282">
        <f t="shared" si="8"/>
        <v>622.61249828771861</v>
      </c>
      <c r="G88" s="282">
        <f t="shared" si="9"/>
        <v>359059.60723268532</v>
      </c>
    </row>
    <row r="89" spans="1:7" x14ac:dyDescent="0.3">
      <c r="A89" s="142">
        <v>79</v>
      </c>
      <c r="B89" s="252">
        <v>44135</v>
      </c>
      <c r="C89" s="282">
        <f t="shared" si="5"/>
        <v>359059.60723268532</v>
      </c>
      <c r="D89" s="282">
        <f t="shared" si="6"/>
        <v>2271.1560053880116</v>
      </c>
      <c r="E89" s="282">
        <f t="shared" si="7"/>
        <v>1645.6898664831413</v>
      </c>
      <c r="F89" s="282">
        <f t="shared" si="8"/>
        <v>625.46613890487038</v>
      </c>
      <c r="G89" s="282">
        <f t="shared" si="9"/>
        <v>358434.14109378046</v>
      </c>
    </row>
    <row r="90" spans="1:7" x14ac:dyDescent="0.3">
      <c r="A90" s="142">
        <v>80</v>
      </c>
      <c r="B90" s="252">
        <v>44165</v>
      </c>
      <c r="C90" s="282">
        <f t="shared" si="5"/>
        <v>358434.14109378046</v>
      </c>
      <c r="D90" s="282">
        <f t="shared" si="6"/>
        <v>2271.1560053880116</v>
      </c>
      <c r="E90" s="282">
        <f t="shared" si="7"/>
        <v>1642.823146679827</v>
      </c>
      <c r="F90" s="282">
        <f t="shared" si="8"/>
        <v>628.33285870818463</v>
      </c>
      <c r="G90" s="282">
        <f t="shared" si="9"/>
        <v>357805.8082350723</v>
      </c>
    </row>
    <row r="91" spans="1:7" x14ac:dyDescent="0.3">
      <c r="A91" s="142">
        <v>81</v>
      </c>
      <c r="B91" s="252">
        <v>44196</v>
      </c>
      <c r="C91" s="282">
        <f t="shared" si="5"/>
        <v>357805.8082350723</v>
      </c>
      <c r="D91" s="282">
        <f t="shared" si="6"/>
        <v>2271.1560053880116</v>
      </c>
      <c r="E91" s="282">
        <f t="shared" si="7"/>
        <v>1639.9432877440813</v>
      </c>
      <c r="F91" s="282">
        <f t="shared" si="8"/>
        <v>631.21271764393032</v>
      </c>
      <c r="G91" s="282">
        <f t="shared" si="9"/>
        <v>357174.59551742836</v>
      </c>
    </row>
    <row r="92" spans="1:7" x14ac:dyDescent="0.3">
      <c r="A92" s="142">
        <v>82</v>
      </c>
      <c r="B92" s="252">
        <v>44227</v>
      </c>
      <c r="C92" s="282">
        <f t="shared" si="5"/>
        <v>357174.59551742836</v>
      </c>
      <c r="D92" s="282">
        <f t="shared" si="6"/>
        <v>2271.1560053880116</v>
      </c>
      <c r="E92" s="282">
        <f t="shared" si="7"/>
        <v>1637.0502294548799</v>
      </c>
      <c r="F92" s="282">
        <f t="shared" si="8"/>
        <v>634.10577593313178</v>
      </c>
      <c r="G92" s="282">
        <f t="shared" si="9"/>
        <v>356540.48974149523</v>
      </c>
    </row>
    <row r="93" spans="1:7" x14ac:dyDescent="0.3">
      <c r="A93" s="142">
        <v>83</v>
      </c>
      <c r="B93" s="252">
        <v>44255</v>
      </c>
      <c r="C93" s="282">
        <f t="shared" si="5"/>
        <v>356540.48974149523</v>
      </c>
      <c r="D93" s="282">
        <f t="shared" si="6"/>
        <v>2271.1560053880116</v>
      </c>
      <c r="E93" s="282">
        <f t="shared" si="7"/>
        <v>1634.1439113151864</v>
      </c>
      <c r="F93" s="282">
        <f t="shared" si="8"/>
        <v>637.01209407282522</v>
      </c>
      <c r="G93" s="282">
        <f t="shared" si="9"/>
        <v>355903.47764742241</v>
      </c>
    </row>
    <row r="94" spans="1:7" x14ac:dyDescent="0.3">
      <c r="A94" s="142">
        <v>84</v>
      </c>
      <c r="B94" s="252">
        <v>44286</v>
      </c>
      <c r="C94" s="282">
        <f t="shared" si="5"/>
        <v>355903.47764742241</v>
      </c>
      <c r="D94" s="282">
        <f t="shared" si="6"/>
        <v>2271.1560053880116</v>
      </c>
      <c r="E94" s="282">
        <f t="shared" si="7"/>
        <v>1631.224272550686</v>
      </c>
      <c r="F94" s="282">
        <f t="shared" si="8"/>
        <v>639.93173283732563</v>
      </c>
      <c r="G94" s="282">
        <f t="shared" si="9"/>
        <v>355263.54591458506</v>
      </c>
    </row>
    <row r="95" spans="1:7" x14ac:dyDescent="0.3">
      <c r="A95" s="142">
        <v>85</v>
      </c>
      <c r="B95" s="252">
        <v>44316</v>
      </c>
      <c r="C95" s="282">
        <f t="shared" si="5"/>
        <v>355263.54591458506</v>
      </c>
      <c r="D95" s="282">
        <f t="shared" si="6"/>
        <v>2271.1560053880116</v>
      </c>
      <c r="E95" s="282">
        <f t="shared" si="7"/>
        <v>1628.2912521085148</v>
      </c>
      <c r="F95" s="282">
        <f t="shared" si="8"/>
        <v>642.86475327949688</v>
      </c>
      <c r="G95" s="282">
        <f t="shared" si="9"/>
        <v>354620.68116130558</v>
      </c>
    </row>
    <row r="96" spans="1:7" x14ac:dyDescent="0.3">
      <c r="A96" s="142">
        <v>86</v>
      </c>
      <c r="B96" s="252">
        <v>44347</v>
      </c>
      <c r="C96" s="282">
        <f t="shared" si="5"/>
        <v>354620.68116130558</v>
      </c>
      <c r="D96" s="282">
        <f t="shared" si="6"/>
        <v>2271.1560053880116</v>
      </c>
      <c r="E96" s="282">
        <f t="shared" si="7"/>
        <v>1625.3447886559841</v>
      </c>
      <c r="F96" s="282">
        <f t="shared" si="8"/>
        <v>645.81121673202756</v>
      </c>
      <c r="G96" s="282">
        <f t="shared" si="9"/>
        <v>353974.86994457355</v>
      </c>
    </row>
    <row r="97" spans="1:7" x14ac:dyDescent="0.3">
      <c r="A97" s="142">
        <v>87</v>
      </c>
      <c r="B97" s="252">
        <v>44377</v>
      </c>
      <c r="C97" s="282">
        <f t="shared" si="5"/>
        <v>353974.86994457355</v>
      </c>
      <c r="D97" s="282">
        <f t="shared" si="6"/>
        <v>2271.1560053880116</v>
      </c>
      <c r="E97" s="282">
        <f t="shared" si="7"/>
        <v>1622.3848205792956</v>
      </c>
      <c r="F97" s="282">
        <f t="shared" si="8"/>
        <v>648.77118480871604</v>
      </c>
      <c r="G97" s="282">
        <f t="shared" si="9"/>
        <v>353326.09875976486</v>
      </c>
    </row>
    <row r="98" spans="1:7" x14ac:dyDescent="0.3">
      <c r="A98" s="142">
        <v>88</v>
      </c>
      <c r="B98" s="252">
        <v>44408</v>
      </c>
      <c r="C98" s="282">
        <f t="shared" si="5"/>
        <v>353326.09875976486</v>
      </c>
      <c r="D98" s="282">
        <f t="shared" si="6"/>
        <v>2271.1560053880116</v>
      </c>
      <c r="E98" s="282">
        <f t="shared" si="7"/>
        <v>1619.4112859822555</v>
      </c>
      <c r="F98" s="282">
        <f t="shared" si="8"/>
        <v>651.74471940575609</v>
      </c>
      <c r="G98" s="282">
        <f t="shared" si="9"/>
        <v>352674.35404035909</v>
      </c>
    </row>
    <row r="99" spans="1:7" x14ac:dyDescent="0.3">
      <c r="A99" s="142">
        <v>89</v>
      </c>
      <c r="B99" s="252">
        <v>44439</v>
      </c>
      <c r="C99" s="282">
        <f t="shared" si="5"/>
        <v>352674.35404035909</v>
      </c>
      <c r="D99" s="282">
        <f t="shared" si="6"/>
        <v>2271.1560053880116</v>
      </c>
      <c r="E99" s="282">
        <f t="shared" si="7"/>
        <v>1616.4241226849792</v>
      </c>
      <c r="F99" s="282">
        <f t="shared" si="8"/>
        <v>654.7318827030324</v>
      </c>
      <c r="G99" s="282">
        <f t="shared" si="9"/>
        <v>352019.62215765606</v>
      </c>
    </row>
    <row r="100" spans="1:7" x14ac:dyDescent="0.3">
      <c r="A100" s="142">
        <v>90</v>
      </c>
      <c r="B100" s="252">
        <v>44469</v>
      </c>
      <c r="C100" s="282">
        <f t="shared" si="5"/>
        <v>352019.62215765606</v>
      </c>
      <c r="D100" s="282">
        <f t="shared" si="6"/>
        <v>2271.1560053880116</v>
      </c>
      <c r="E100" s="282">
        <f t="shared" si="7"/>
        <v>1613.4232682225902</v>
      </c>
      <c r="F100" s="282">
        <f t="shared" si="8"/>
        <v>657.73273716542144</v>
      </c>
      <c r="G100" s="282">
        <f t="shared" si="9"/>
        <v>351361.88942049065</v>
      </c>
    </row>
    <row r="101" spans="1:7" x14ac:dyDescent="0.3">
      <c r="A101" s="142">
        <v>91</v>
      </c>
      <c r="B101" s="252">
        <v>44500</v>
      </c>
      <c r="C101" s="282">
        <f t="shared" si="5"/>
        <v>351361.88942049065</v>
      </c>
      <c r="D101" s="282">
        <f t="shared" si="6"/>
        <v>2271.1560053880116</v>
      </c>
      <c r="E101" s="282">
        <f t="shared" si="7"/>
        <v>1610.4086598439155</v>
      </c>
      <c r="F101" s="282">
        <f t="shared" si="8"/>
        <v>660.74734554409611</v>
      </c>
      <c r="G101" s="282">
        <f t="shared" si="9"/>
        <v>350701.14207494655</v>
      </c>
    </row>
    <row r="102" spans="1:7" x14ac:dyDescent="0.3">
      <c r="A102" s="142">
        <v>92</v>
      </c>
      <c r="B102" s="252">
        <v>44530</v>
      </c>
      <c r="C102" s="282">
        <f t="shared" si="5"/>
        <v>350701.14207494655</v>
      </c>
      <c r="D102" s="282">
        <f t="shared" si="6"/>
        <v>2271.1560053880116</v>
      </c>
      <c r="E102" s="282">
        <f t="shared" si="7"/>
        <v>1607.3802345101715</v>
      </c>
      <c r="F102" s="282">
        <f t="shared" si="8"/>
        <v>663.77577087784016</v>
      </c>
      <c r="G102" s="282">
        <f t="shared" si="9"/>
        <v>350037.36630406871</v>
      </c>
    </row>
    <row r="103" spans="1:7" x14ac:dyDescent="0.3">
      <c r="A103" s="142">
        <v>93</v>
      </c>
      <c r="B103" s="252">
        <v>44561</v>
      </c>
      <c r="C103" s="282">
        <f t="shared" si="5"/>
        <v>350037.36630406871</v>
      </c>
      <c r="D103" s="282">
        <f t="shared" si="6"/>
        <v>2271.1560053880116</v>
      </c>
      <c r="E103" s="282">
        <f t="shared" si="7"/>
        <v>1604.3379288936483</v>
      </c>
      <c r="F103" s="282">
        <f t="shared" si="8"/>
        <v>666.81807649436337</v>
      </c>
      <c r="G103" s="282">
        <f t="shared" si="9"/>
        <v>349370.54822757433</v>
      </c>
    </row>
    <row r="104" spans="1:7" x14ac:dyDescent="0.3">
      <c r="A104" s="142">
        <v>94</v>
      </c>
      <c r="B104" s="252">
        <v>44592</v>
      </c>
      <c r="C104" s="282">
        <f t="shared" si="5"/>
        <v>349370.54822757433</v>
      </c>
      <c r="D104" s="282">
        <f t="shared" si="6"/>
        <v>2271.1560053880116</v>
      </c>
      <c r="E104" s="282">
        <f t="shared" si="7"/>
        <v>1601.2816793763823</v>
      </c>
      <c r="F104" s="282">
        <f t="shared" si="8"/>
        <v>669.87432601162936</v>
      </c>
      <c r="G104" s="282">
        <f t="shared" si="9"/>
        <v>348700.6739015627</v>
      </c>
    </row>
    <row r="105" spans="1:7" x14ac:dyDescent="0.3">
      <c r="A105" s="142">
        <v>95</v>
      </c>
      <c r="B105" s="252">
        <v>44620</v>
      </c>
      <c r="C105" s="282">
        <f t="shared" si="5"/>
        <v>348700.6739015627</v>
      </c>
      <c r="D105" s="282">
        <f t="shared" si="6"/>
        <v>2271.1560053880116</v>
      </c>
      <c r="E105" s="282">
        <f t="shared" si="7"/>
        <v>1598.211422048829</v>
      </c>
      <c r="F105" s="282">
        <f t="shared" si="8"/>
        <v>672.9445833391826</v>
      </c>
      <c r="G105" s="282">
        <f t="shared" si="9"/>
        <v>348027.72931822349</v>
      </c>
    </row>
    <row r="106" spans="1:7" x14ac:dyDescent="0.3">
      <c r="A106" s="142">
        <v>96</v>
      </c>
      <c r="B106" s="252">
        <v>44651</v>
      </c>
      <c r="C106" s="282">
        <f t="shared" si="5"/>
        <v>348027.72931822349</v>
      </c>
      <c r="D106" s="282">
        <f t="shared" si="6"/>
        <v>2271.1560053880116</v>
      </c>
      <c r="E106" s="282">
        <f t="shared" si="7"/>
        <v>1595.1270927085243</v>
      </c>
      <c r="F106" s="282">
        <f t="shared" si="8"/>
        <v>676.02891267948735</v>
      </c>
      <c r="G106" s="282">
        <f t="shared" si="9"/>
        <v>347351.70040554402</v>
      </c>
    </row>
    <row r="107" spans="1:7" x14ac:dyDescent="0.3">
      <c r="A107" s="142">
        <v>97</v>
      </c>
      <c r="B107" s="252">
        <v>44681</v>
      </c>
      <c r="C107" s="282">
        <f t="shared" si="5"/>
        <v>347351.70040554402</v>
      </c>
      <c r="D107" s="282">
        <f t="shared" si="6"/>
        <v>2271.1560053880116</v>
      </c>
      <c r="E107" s="282">
        <f t="shared" si="7"/>
        <v>1592.0286268587433</v>
      </c>
      <c r="F107" s="282">
        <f t="shared" si="8"/>
        <v>679.1273785292683</v>
      </c>
      <c r="G107" s="282">
        <f t="shared" si="9"/>
        <v>346672.57302701473</v>
      </c>
    </row>
    <row r="108" spans="1:7" x14ac:dyDescent="0.3">
      <c r="A108" s="142">
        <v>98</v>
      </c>
      <c r="B108" s="252">
        <v>44712</v>
      </c>
      <c r="C108" s="282">
        <f t="shared" si="5"/>
        <v>346672.57302701473</v>
      </c>
      <c r="D108" s="282">
        <f t="shared" si="6"/>
        <v>2271.1560053880116</v>
      </c>
      <c r="E108" s="282">
        <f t="shared" si="7"/>
        <v>1588.9159597071509</v>
      </c>
      <c r="F108" s="282">
        <f t="shared" si="8"/>
        <v>682.2400456808607</v>
      </c>
      <c r="G108" s="282">
        <f t="shared" si="9"/>
        <v>345990.33298133389</v>
      </c>
    </row>
    <row r="109" spans="1:7" x14ac:dyDescent="0.3">
      <c r="A109" s="142">
        <v>99</v>
      </c>
      <c r="B109" s="252">
        <v>44742</v>
      </c>
      <c r="C109" s="282">
        <f t="shared" si="5"/>
        <v>345990.33298133389</v>
      </c>
      <c r="D109" s="282">
        <f t="shared" si="6"/>
        <v>2271.1560053880116</v>
      </c>
      <c r="E109" s="282">
        <f t="shared" si="7"/>
        <v>1585.789026164447</v>
      </c>
      <c r="F109" s="282">
        <f t="shared" si="8"/>
        <v>685.36697922356461</v>
      </c>
      <c r="G109" s="282">
        <f t="shared" si="9"/>
        <v>345304.96600211033</v>
      </c>
    </row>
    <row r="110" spans="1:7" x14ac:dyDescent="0.3">
      <c r="A110" s="142">
        <v>100</v>
      </c>
      <c r="B110" s="252">
        <v>44773</v>
      </c>
      <c r="C110" s="282">
        <f t="shared" si="5"/>
        <v>345304.96600211033</v>
      </c>
      <c r="D110" s="282">
        <f t="shared" si="6"/>
        <v>2271.1560053880116</v>
      </c>
      <c r="E110" s="282">
        <f t="shared" si="7"/>
        <v>1582.6477608430057</v>
      </c>
      <c r="F110" s="282">
        <f t="shared" si="8"/>
        <v>688.50824454500594</v>
      </c>
      <c r="G110" s="282">
        <f t="shared" si="9"/>
        <v>344616.45775756531</v>
      </c>
    </row>
    <row r="111" spans="1:7" x14ac:dyDescent="0.3">
      <c r="A111" s="142">
        <v>101</v>
      </c>
      <c r="B111" s="252">
        <v>44804</v>
      </c>
      <c r="C111" s="282">
        <f t="shared" si="5"/>
        <v>344616.45775756531</v>
      </c>
      <c r="D111" s="282">
        <f t="shared" si="6"/>
        <v>2271.1560053880116</v>
      </c>
      <c r="E111" s="282">
        <f t="shared" si="7"/>
        <v>1579.4920980555078</v>
      </c>
      <c r="F111" s="282">
        <f t="shared" si="8"/>
        <v>691.66390733250387</v>
      </c>
      <c r="G111" s="282">
        <f t="shared" si="9"/>
        <v>343924.79385023279</v>
      </c>
    </row>
    <row r="112" spans="1:7" x14ac:dyDescent="0.3">
      <c r="A112" s="142">
        <v>102</v>
      </c>
      <c r="B112" s="252">
        <v>44834</v>
      </c>
      <c r="C112" s="282">
        <f t="shared" si="5"/>
        <v>343924.79385023279</v>
      </c>
      <c r="D112" s="282">
        <f t="shared" si="6"/>
        <v>2271.1560053880116</v>
      </c>
      <c r="E112" s="282">
        <f t="shared" si="7"/>
        <v>1576.321971813567</v>
      </c>
      <c r="F112" s="282">
        <f t="shared" si="8"/>
        <v>694.83403357444467</v>
      </c>
      <c r="G112" s="282">
        <f t="shared" si="9"/>
        <v>343229.95981665835</v>
      </c>
    </row>
    <row r="113" spans="1:7" x14ac:dyDescent="0.3">
      <c r="A113" s="142">
        <v>103</v>
      </c>
      <c r="B113" s="252">
        <v>44865</v>
      </c>
      <c r="C113" s="282">
        <f t="shared" si="5"/>
        <v>343229.95981665835</v>
      </c>
      <c r="D113" s="282">
        <f t="shared" si="6"/>
        <v>2271.1560053880116</v>
      </c>
      <c r="E113" s="282">
        <f t="shared" si="7"/>
        <v>1573.1373158263507</v>
      </c>
      <c r="F113" s="282">
        <f t="shared" si="8"/>
        <v>698.01868956166095</v>
      </c>
      <c r="G113" s="282">
        <f t="shared" si="9"/>
        <v>342531.94112709671</v>
      </c>
    </row>
    <row r="114" spans="1:7" x14ac:dyDescent="0.3">
      <c r="A114" s="142">
        <v>104</v>
      </c>
      <c r="B114" s="252">
        <v>44895</v>
      </c>
      <c r="C114" s="282">
        <f t="shared" si="5"/>
        <v>342531.94112709671</v>
      </c>
      <c r="D114" s="282">
        <f t="shared" si="6"/>
        <v>2271.1560053880116</v>
      </c>
      <c r="E114" s="282">
        <f t="shared" si="7"/>
        <v>1569.9380634991933</v>
      </c>
      <c r="F114" s="282">
        <f t="shared" si="8"/>
        <v>701.21794188881836</v>
      </c>
      <c r="G114" s="282">
        <f t="shared" si="9"/>
        <v>341830.72318520787</v>
      </c>
    </row>
    <row r="115" spans="1:7" x14ac:dyDescent="0.3">
      <c r="A115" s="142">
        <v>105</v>
      </c>
      <c r="B115" s="252">
        <v>44926</v>
      </c>
      <c r="C115" s="282">
        <f t="shared" si="5"/>
        <v>341830.72318520787</v>
      </c>
      <c r="D115" s="282">
        <f t="shared" si="6"/>
        <v>2271.1560053880116</v>
      </c>
      <c r="E115" s="282">
        <f t="shared" si="7"/>
        <v>1566.7241479322029</v>
      </c>
      <c r="F115" s="282">
        <f t="shared" si="8"/>
        <v>704.43185745580877</v>
      </c>
      <c r="G115" s="282">
        <f t="shared" si="9"/>
        <v>341126.29132775206</v>
      </c>
    </row>
    <row r="116" spans="1:7" x14ac:dyDescent="0.3">
      <c r="A116" s="142">
        <v>106</v>
      </c>
      <c r="B116" s="252">
        <v>44957</v>
      </c>
      <c r="C116" s="282">
        <f t="shared" si="5"/>
        <v>341126.29132775206</v>
      </c>
      <c r="D116" s="282">
        <f t="shared" si="6"/>
        <v>2271.1560053880116</v>
      </c>
      <c r="E116" s="282">
        <f t="shared" si="7"/>
        <v>1563.4955019188637</v>
      </c>
      <c r="F116" s="282">
        <f t="shared" si="8"/>
        <v>707.6605034691479</v>
      </c>
      <c r="G116" s="282">
        <f t="shared" si="9"/>
        <v>340418.63082428288</v>
      </c>
    </row>
    <row r="117" spans="1:7" x14ac:dyDescent="0.3">
      <c r="A117" s="142">
        <v>107</v>
      </c>
      <c r="B117" s="252">
        <v>44985</v>
      </c>
      <c r="C117" s="282">
        <f t="shared" si="5"/>
        <v>340418.63082428288</v>
      </c>
      <c r="D117" s="282">
        <f t="shared" si="6"/>
        <v>2271.1560053880116</v>
      </c>
      <c r="E117" s="282">
        <f t="shared" si="7"/>
        <v>1560.25205794463</v>
      </c>
      <c r="F117" s="282">
        <f t="shared" si="8"/>
        <v>710.90394744338164</v>
      </c>
      <c r="G117" s="282">
        <f t="shared" si="9"/>
        <v>339707.72687683947</v>
      </c>
    </row>
    <row r="118" spans="1:7" x14ac:dyDescent="0.3">
      <c r="A118" s="142">
        <v>108</v>
      </c>
      <c r="B118" s="252">
        <v>45016</v>
      </c>
      <c r="C118" s="282">
        <f t="shared" si="5"/>
        <v>339707.72687683947</v>
      </c>
      <c r="D118" s="282">
        <f t="shared" si="6"/>
        <v>2271.1560053880116</v>
      </c>
      <c r="E118" s="282">
        <f t="shared" si="7"/>
        <v>1556.9937481855143</v>
      </c>
      <c r="F118" s="282">
        <f t="shared" si="8"/>
        <v>714.16225720249736</v>
      </c>
      <c r="G118" s="282">
        <f t="shared" si="9"/>
        <v>338993.56461963698</v>
      </c>
    </row>
    <row r="119" spans="1:7" x14ac:dyDescent="0.3">
      <c r="A119" s="142">
        <v>109</v>
      </c>
      <c r="B119" s="252">
        <v>45046</v>
      </c>
      <c r="C119" s="282">
        <f t="shared" si="5"/>
        <v>338993.56461963698</v>
      </c>
      <c r="D119" s="282">
        <f t="shared" si="6"/>
        <v>2271.1560053880116</v>
      </c>
      <c r="E119" s="282">
        <f t="shared" si="7"/>
        <v>1553.7205045066694</v>
      </c>
      <c r="F119" s="282">
        <f t="shared" si="8"/>
        <v>717.43550088134225</v>
      </c>
      <c r="G119" s="282">
        <f t="shared" si="9"/>
        <v>338276.12911875563</v>
      </c>
    </row>
    <row r="120" spans="1:7" x14ac:dyDescent="0.3">
      <c r="A120" s="142">
        <v>110</v>
      </c>
      <c r="B120" s="252">
        <v>45077</v>
      </c>
      <c r="C120" s="282">
        <f t="shared" si="5"/>
        <v>338276.12911875563</v>
      </c>
      <c r="D120" s="282">
        <f t="shared" si="6"/>
        <v>2271.1560053880116</v>
      </c>
      <c r="E120" s="282">
        <f t="shared" si="7"/>
        <v>1550.4322584609633</v>
      </c>
      <c r="F120" s="282">
        <f t="shared" si="8"/>
        <v>720.7237469270483</v>
      </c>
      <c r="G120" s="282">
        <f t="shared" si="9"/>
        <v>337555.40537182859</v>
      </c>
    </row>
    <row r="121" spans="1:7" x14ac:dyDescent="0.3">
      <c r="A121" s="142">
        <v>111</v>
      </c>
      <c r="B121" s="252">
        <v>45107</v>
      </c>
      <c r="C121" s="282">
        <f t="shared" si="5"/>
        <v>337555.40537182859</v>
      </c>
      <c r="D121" s="282">
        <f t="shared" si="6"/>
        <v>2271.1560053880116</v>
      </c>
      <c r="E121" s="282">
        <f t="shared" si="7"/>
        <v>1547.1289412875476</v>
      </c>
      <c r="F121" s="282">
        <f t="shared" si="8"/>
        <v>724.02706410046403</v>
      </c>
      <c r="G121" s="282">
        <f t="shared" si="9"/>
        <v>336831.3783077281</v>
      </c>
    </row>
    <row r="122" spans="1:7" x14ac:dyDescent="0.3">
      <c r="A122" s="142">
        <v>112</v>
      </c>
      <c r="B122" s="252">
        <v>45138</v>
      </c>
      <c r="C122" s="282">
        <f t="shared" si="5"/>
        <v>336831.3783077281</v>
      </c>
      <c r="D122" s="282">
        <f t="shared" si="6"/>
        <v>2271.1560053880116</v>
      </c>
      <c r="E122" s="282">
        <f t="shared" si="7"/>
        <v>1543.8104839104205</v>
      </c>
      <c r="F122" s="282">
        <f t="shared" si="8"/>
        <v>727.34552147759109</v>
      </c>
      <c r="G122" s="282">
        <f t="shared" si="9"/>
        <v>336104.03278625052</v>
      </c>
    </row>
    <row r="123" spans="1:7" x14ac:dyDescent="0.3">
      <c r="A123" s="142">
        <v>113</v>
      </c>
      <c r="B123" s="252">
        <v>45169</v>
      </c>
      <c r="C123" s="282">
        <f t="shared" si="5"/>
        <v>336104.03278625052</v>
      </c>
      <c r="D123" s="282">
        <f t="shared" si="6"/>
        <v>2271.1560053880116</v>
      </c>
      <c r="E123" s="282">
        <f t="shared" si="7"/>
        <v>1540.4768169369815</v>
      </c>
      <c r="F123" s="282">
        <f t="shared" si="8"/>
        <v>730.67918845103009</v>
      </c>
      <c r="G123" s="282">
        <f t="shared" si="9"/>
        <v>335373.35359779949</v>
      </c>
    </row>
    <row r="124" spans="1:7" x14ac:dyDescent="0.3">
      <c r="A124" s="142">
        <v>114</v>
      </c>
      <c r="B124" s="252">
        <v>45199</v>
      </c>
      <c r="C124" s="282">
        <f t="shared" si="5"/>
        <v>335373.35359779949</v>
      </c>
      <c r="D124" s="282">
        <f t="shared" si="6"/>
        <v>2271.1560053880116</v>
      </c>
      <c r="E124" s="282">
        <f t="shared" si="7"/>
        <v>1537.1278706565811</v>
      </c>
      <c r="F124" s="282">
        <f t="shared" si="8"/>
        <v>734.02813473143055</v>
      </c>
      <c r="G124" s="282">
        <f t="shared" si="9"/>
        <v>334639.32546306803</v>
      </c>
    </row>
    <row r="125" spans="1:7" x14ac:dyDescent="0.3">
      <c r="A125" s="142">
        <v>115</v>
      </c>
      <c r="B125" s="252">
        <v>45230</v>
      </c>
      <c r="C125" s="282">
        <f t="shared" si="5"/>
        <v>334639.32546306803</v>
      </c>
      <c r="D125" s="282">
        <f t="shared" si="6"/>
        <v>2271.1560053880116</v>
      </c>
      <c r="E125" s="282">
        <f t="shared" si="7"/>
        <v>1533.7635750390618</v>
      </c>
      <c r="F125" s="282">
        <f t="shared" si="8"/>
        <v>737.3924303489498</v>
      </c>
      <c r="G125" s="282">
        <f t="shared" si="9"/>
        <v>333901.93303271907</v>
      </c>
    </row>
    <row r="126" spans="1:7" x14ac:dyDescent="0.3">
      <c r="A126" s="142">
        <v>116</v>
      </c>
      <c r="B126" s="252">
        <v>45260</v>
      </c>
      <c r="C126" s="282">
        <f t="shared" si="5"/>
        <v>333901.93303271907</v>
      </c>
      <c r="D126" s="282">
        <f t="shared" si="6"/>
        <v>2271.1560053880116</v>
      </c>
      <c r="E126" s="282">
        <f t="shared" si="7"/>
        <v>1530.3838597332958</v>
      </c>
      <c r="F126" s="282">
        <f t="shared" si="8"/>
        <v>740.77214565471581</v>
      </c>
      <c r="G126" s="282">
        <f t="shared" si="9"/>
        <v>333161.16088706435</v>
      </c>
    </row>
    <row r="127" spans="1:7" x14ac:dyDescent="0.3">
      <c r="A127" s="142">
        <v>117</v>
      </c>
      <c r="B127" s="252">
        <v>45291</v>
      </c>
      <c r="C127" s="282">
        <f t="shared" si="5"/>
        <v>333161.16088706435</v>
      </c>
      <c r="D127" s="282">
        <f t="shared" si="6"/>
        <v>2271.1560053880116</v>
      </c>
      <c r="E127" s="282">
        <f t="shared" si="7"/>
        <v>1526.9886540657117</v>
      </c>
      <c r="F127" s="282">
        <f t="shared" si="8"/>
        <v>744.16735132229996</v>
      </c>
      <c r="G127" s="282">
        <f t="shared" si="9"/>
        <v>332416.99353574205</v>
      </c>
    </row>
    <row r="128" spans="1:7" x14ac:dyDescent="0.3">
      <c r="A128" s="142">
        <v>118</v>
      </c>
      <c r="B128" s="252">
        <v>45322</v>
      </c>
      <c r="C128" s="282">
        <f t="shared" si="5"/>
        <v>332416.99353574205</v>
      </c>
      <c r="D128" s="282">
        <f t="shared" si="6"/>
        <v>2271.1560053880116</v>
      </c>
      <c r="E128" s="282">
        <f t="shared" si="7"/>
        <v>1523.5778870388176</v>
      </c>
      <c r="F128" s="282">
        <f t="shared" si="8"/>
        <v>747.57811834919403</v>
      </c>
      <c r="G128" s="282">
        <f t="shared" si="9"/>
        <v>331669.41541739285</v>
      </c>
    </row>
    <row r="129" spans="1:7" x14ac:dyDescent="0.3">
      <c r="A129" s="142">
        <v>119</v>
      </c>
      <c r="B129" s="252">
        <v>45351</v>
      </c>
      <c r="C129" s="282">
        <f t="shared" si="5"/>
        <v>331669.41541739285</v>
      </c>
      <c r="D129" s="282">
        <f t="shared" si="6"/>
        <v>2271.1560053880116</v>
      </c>
      <c r="E129" s="282">
        <f t="shared" si="7"/>
        <v>1520.1514873297174</v>
      </c>
      <c r="F129" s="282">
        <f t="shared" si="8"/>
        <v>751.00451805829425</v>
      </c>
      <c r="G129" s="282">
        <f t="shared" si="9"/>
        <v>330918.41089933459</v>
      </c>
    </row>
    <row r="130" spans="1:7" x14ac:dyDescent="0.3">
      <c r="A130" s="142">
        <v>120</v>
      </c>
      <c r="B130" s="252">
        <v>45382</v>
      </c>
      <c r="C130" s="282">
        <f t="shared" si="5"/>
        <v>330918.41089933459</v>
      </c>
      <c r="D130" s="282">
        <f t="shared" si="6"/>
        <v>2271.1560053880116</v>
      </c>
      <c r="E130" s="282">
        <f t="shared" si="7"/>
        <v>1516.7093832886169</v>
      </c>
      <c r="F130" s="282">
        <f t="shared" si="8"/>
        <v>754.44662209939474</v>
      </c>
      <c r="G130" s="282">
        <f t="shared" si="9"/>
        <v>330163.96427723521</v>
      </c>
    </row>
    <row r="131" spans="1:7" x14ac:dyDescent="0.3">
      <c r="A131" s="142">
        <v>121</v>
      </c>
      <c r="B131" s="252">
        <v>45412</v>
      </c>
      <c r="C131" s="282">
        <f t="shared" si="5"/>
        <v>330163.96427723521</v>
      </c>
      <c r="D131" s="282">
        <f t="shared" si="6"/>
        <v>2271.1560053880116</v>
      </c>
      <c r="E131" s="282">
        <f t="shared" si="7"/>
        <v>1513.251502937328</v>
      </c>
      <c r="F131" s="282">
        <f t="shared" si="8"/>
        <v>757.90450245068359</v>
      </c>
      <c r="G131" s="282">
        <f t="shared" si="9"/>
        <v>329406.05977478455</v>
      </c>
    </row>
    <row r="132" spans="1:7" x14ac:dyDescent="0.3">
      <c r="A132" s="142">
        <v>122</v>
      </c>
      <c r="B132" s="252">
        <v>45443</v>
      </c>
      <c r="C132" s="282">
        <f t="shared" si="5"/>
        <v>329406.05977478455</v>
      </c>
      <c r="D132" s="282">
        <f t="shared" si="6"/>
        <v>2271.1560053880116</v>
      </c>
      <c r="E132" s="282">
        <f t="shared" si="7"/>
        <v>1509.7777739677624</v>
      </c>
      <c r="F132" s="282">
        <f t="shared" si="8"/>
        <v>761.37823142024922</v>
      </c>
      <c r="G132" s="282">
        <f t="shared" si="9"/>
        <v>328644.68154336431</v>
      </c>
    </row>
    <row r="133" spans="1:7" x14ac:dyDescent="0.3">
      <c r="A133" s="142">
        <v>123</v>
      </c>
      <c r="B133" s="252">
        <v>45473</v>
      </c>
      <c r="C133" s="282">
        <f t="shared" si="5"/>
        <v>328644.68154336431</v>
      </c>
      <c r="D133" s="282">
        <f t="shared" si="6"/>
        <v>2271.1560053880116</v>
      </c>
      <c r="E133" s="282">
        <f t="shared" si="7"/>
        <v>1506.2881237404197</v>
      </c>
      <c r="F133" s="282">
        <f t="shared" si="8"/>
        <v>764.86788164759196</v>
      </c>
      <c r="G133" s="282">
        <f t="shared" si="9"/>
        <v>327879.8136617167</v>
      </c>
    </row>
    <row r="134" spans="1:7" x14ac:dyDescent="0.3">
      <c r="A134" s="142">
        <v>124</v>
      </c>
      <c r="B134" s="252">
        <v>45504</v>
      </c>
      <c r="C134" s="282">
        <f t="shared" si="5"/>
        <v>327879.8136617167</v>
      </c>
      <c r="D134" s="282">
        <f t="shared" si="6"/>
        <v>2271.1560053880116</v>
      </c>
      <c r="E134" s="282">
        <f t="shared" si="7"/>
        <v>1502.7824792828681</v>
      </c>
      <c r="F134" s="282">
        <f t="shared" si="8"/>
        <v>768.37352610514358</v>
      </c>
      <c r="G134" s="282">
        <f t="shared" si="9"/>
        <v>327111.44013561157</v>
      </c>
    </row>
    <row r="135" spans="1:7" x14ac:dyDescent="0.3">
      <c r="A135" s="142">
        <v>125</v>
      </c>
      <c r="B135" s="252">
        <v>45535</v>
      </c>
      <c r="C135" s="282">
        <f t="shared" si="5"/>
        <v>327111.44013561157</v>
      </c>
      <c r="D135" s="282">
        <f t="shared" si="6"/>
        <v>2271.1560053880116</v>
      </c>
      <c r="E135" s="282">
        <f t="shared" si="7"/>
        <v>1499.2607672882198</v>
      </c>
      <c r="F135" s="282">
        <f t="shared" si="8"/>
        <v>771.89523809979187</v>
      </c>
      <c r="G135" s="282">
        <f t="shared" si="9"/>
        <v>326339.54489751178</v>
      </c>
    </row>
    <row r="136" spans="1:7" x14ac:dyDescent="0.3">
      <c r="A136" s="142">
        <v>126</v>
      </c>
      <c r="B136" s="252">
        <v>45565</v>
      </c>
      <c r="C136" s="282">
        <f t="shared" si="5"/>
        <v>326339.54489751178</v>
      </c>
      <c r="D136" s="282">
        <f t="shared" si="6"/>
        <v>2271.1560053880116</v>
      </c>
      <c r="E136" s="282">
        <f t="shared" si="7"/>
        <v>1495.7229141135956</v>
      </c>
      <c r="F136" s="282">
        <f t="shared" si="8"/>
        <v>775.43309127441603</v>
      </c>
      <c r="G136" s="282">
        <f t="shared" si="9"/>
        <v>325564.11180623737</v>
      </c>
    </row>
    <row r="137" spans="1:7" x14ac:dyDescent="0.3">
      <c r="A137" s="142">
        <v>127</v>
      </c>
      <c r="B137" s="252">
        <v>45596</v>
      </c>
      <c r="C137" s="282">
        <f t="shared" si="5"/>
        <v>325564.11180623737</v>
      </c>
      <c r="D137" s="282">
        <f t="shared" si="6"/>
        <v>2271.1560053880116</v>
      </c>
      <c r="E137" s="282">
        <f t="shared" si="7"/>
        <v>1492.1688457785879</v>
      </c>
      <c r="F137" s="282">
        <f t="shared" si="8"/>
        <v>778.98715960942377</v>
      </c>
      <c r="G137" s="282">
        <f t="shared" si="9"/>
        <v>324785.12464662793</v>
      </c>
    </row>
    <row r="138" spans="1:7" x14ac:dyDescent="0.3">
      <c r="A138" s="142">
        <v>128</v>
      </c>
      <c r="B138" s="252">
        <v>45626</v>
      </c>
      <c r="C138" s="282">
        <f t="shared" si="5"/>
        <v>324785.12464662793</v>
      </c>
      <c r="D138" s="282">
        <f t="shared" si="6"/>
        <v>2271.1560053880116</v>
      </c>
      <c r="E138" s="282">
        <f t="shared" si="7"/>
        <v>1488.5984879637115</v>
      </c>
      <c r="F138" s="282">
        <f t="shared" si="8"/>
        <v>782.55751742430016</v>
      </c>
      <c r="G138" s="282">
        <f t="shared" si="9"/>
        <v>324002.56712920364</v>
      </c>
    </row>
    <row r="139" spans="1:7" x14ac:dyDescent="0.3">
      <c r="A139" s="142">
        <v>129</v>
      </c>
      <c r="B139" s="252">
        <v>45657</v>
      </c>
      <c r="C139" s="282">
        <f t="shared" si="5"/>
        <v>324002.56712920364</v>
      </c>
      <c r="D139" s="282">
        <f t="shared" si="6"/>
        <v>2271.1560053880116</v>
      </c>
      <c r="E139" s="282">
        <f t="shared" si="7"/>
        <v>1485.0117660088499</v>
      </c>
      <c r="F139" s="282">
        <f t="shared" si="8"/>
        <v>786.14423937916172</v>
      </c>
      <c r="G139" s="282">
        <f t="shared" si="9"/>
        <v>323216.42288982449</v>
      </c>
    </row>
    <row r="140" spans="1:7" x14ac:dyDescent="0.3">
      <c r="A140" s="142">
        <v>130</v>
      </c>
      <c r="B140" s="252">
        <v>45688</v>
      </c>
      <c r="C140" s="282">
        <f t="shared" si="5"/>
        <v>323216.42288982449</v>
      </c>
      <c r="D140" s="282">
        <f t="shared" si="6"/>
        <v>2271.1560053880116</v>
      </c>
      <c r="E140" s="282">
        <f t="shared" si="7"/>
        <v>1481.4086049116956</v>
      </c>
      <c r="F140" s="282">
        <f t="shared" si="8"/>
        <v>789.74740047631599</v>
      </c>
      <c r="G140" s="282">
        <f t="shared" si="9"/>
        <v>322426.67548934818</v>
      </c>
    </row>
    <row r="141" spans="1:7" x14ac:dyDescent="0.3">
      <c r="A141" s="142">
        <v>131</v>
      </c>
      <c r="B141" s="252">
        <v>45716</v>
      </c>
      <c r="C141" s="282">
        <f t="shared" ref="C141:C204" si="10">G140</f>
        <v>322426.67548934818</v>
      </c>
      <c r="D141" s="282">
        <f t="shared" ref="D141:D204" si="11">$B$7</f>
        <v>2271.1560053880116</v>
      </c>
      <c r="E141" s="282">
        <f t="shared" ref="E141:E204" si="12">C141*$B$4/12</f>
        <v>1477.7889293261794</v>
      </c>
      <c r="F141" s="282">
        <f t="shared" ref="F141:F204" si="13">D141-E141</f>
        <v>793.36707606183222</v>
      </c>
      <c r="G141" s="282">
        <f t="shared" ref="G141:G204" si="14">C141-F141</f>
        <v>321633.30841328634</v>
      </c>
    </row>
    <row r="142" spans="1:7" x14ac:dyDescent="0.3">
      <c r="A142" s="142">
        <v>132</v>
      </c>
      <c r="B142" s="252">
        <v>45747</v>
      </c>
      <c r="C142" s="282">
        <f t="shared" si="10"/>
        <v>321633.30841328634</v>
      </c>
      <c r="D142" s="282">
        <f t="shared" si="11"/>
        <v>2271.1560053880116</v>
      </c>
      <c r="E142" s="282">
        <f t="shared" si="12"/>
        <v>1474.1526635608959</v>
      </c>
      <c r="F142" s="282">
        <f t="shared" si="13"/>
        <v>797.00334182711572</v>
      </c>
      <c r="G142" s="282">
        <f t="shared" si="14"/>
        <v>320836.30507145921</v>
      </c>
    </row>
    <row r="143" spans="1:7" x14ac:dyDescent="0.3">
      <c r="A143" s="142">
        <v>133</v>
      </c>
      <c r="B143" s="252">
        <v>45777</v>
      </c>
      <c r="C143" s="282">
        <f t="shared" si="10"/>
        <v>320836.30507145921</v>
      </c>
      <c r="D143" s="282">
        <f t="shared" si="11"/>
        <v>2271.1560053880116</v>
      </c>
      <c r="E143" s="282">
        <f t="shared" si="12"/>
        <v>1470.4997315775215</v>
      </c>
      <c r="F143" s="282">
        <f t="shared" si="13"/>
        <v>800.65627381049012</v>
      </c>
      <c r="G143" s="282">
        <f t="shared" si="14"/>
        <v>320035.64879764873</v>
      </c>
    </row>
    <row r="144" spans="1:7" x14ac:dyDescent="0.3">
      <c r="A144" s="142">
        <v>134</v>
      </c>
      <c r="B144" s="252">
        <v>45808</v>
      </c>
      <c r="C144" s="282">
        <f t="shared" si="10"/>
        <v>320035.64879764873</v>
      </c>
      <c r="D144" s="282">
        <f t="shared" si="11"/>
        <v>2271.1560053880116</v>
      </c>
      <c r="E144" s="282">
        <f t="shared" si="12"/>
        <v>1466.8300569892233</v>
      </c>
      <c r="F144" s="282">
        <f t="shared" si="13"/>
        <v>804.32594839878834</v>
      </c>
      <c r="G144" s="282">
        <f t="shared" si="14"/>
        <v>319231.32284924993</v>
      </c>
    </row>
    <row r="145" spans="1:7" x14ac:dyDescent="0.3">
      <c r="A145" s="142">
        <v>135</v>
      </c>
      <c r="B145" s="252">
        <v>45838</v>
      </c>
      <c r="C145" s="282">
        <f t="shared" si="10"/>
        <v>319231.32284924993</v>
      </c>
      <c r="D145" s="282">
        <f t="shared" si="11"/>
        <v>2271.1560053880116</v>
      </c>
      <c r="E145" s="282">
        <f t="shared" si="12"/>
        <v>1463.1435630590622</v>
      </c>
      <c r="F145" s="282">
        <f t="shared" si="13"/>
        <v>808.01244232894942</v>
      </c>
      <c r="G145" s="282">
        <f t="shared" si="14"/>
        <v>318423.31040692097</v>
      </c>
    </row>
    <row r="146" spans="1:7" x14ac:dyDescent="0.3">
      <c r="A146" s="142">
        <v>136</v>
      </c>
      <c r="B146" s="252">
        <v>45869</v>
      </c>
      <c r="C146" s="282">
        <f t="shared" si="10"/>
        <v>318423.31040692097</v>
      </c>
      <c r="D146" s="282">
        <f t="shared" si="11"/>
        <v>2271.1560053880116</v>
      </c>
      <c r="E146" s="282">
        <f t="shared" si="12"/>
        <v>1459.4401726983879</v>
      </c>
      <c r="F146" s="282">
        <f t="shared" si="13"/>
        <v>811.71583268962377</v>
      </c>
      <c r="G146" s="282">
        <f t="shared" si="14"/>
        <v>317611.59457423136</v>
      </c>
    </row>
    <row r="147" spans="1:7" x14ac:dyDescent="0.3">
      <c r="A147" s="142">
        <v>137</v>
      </c>
      <c r="B147" s="252">
        <v>45900</v>
      </c>
      <c r="C147" s="282">
        <f t="shared" si="10"/>
        <v>317611.59457423136</v>
      </c>
      <c r="D147" s="282">
        <f t="shared" si="11"/>
        <v>2271.1560053880116</v>
      </c>
      <c r="E147" s="282">
        <f t="shared" si="12"/>
        <v>1455.7198084652271</v>
      </c>
      <c r="F147" s="282">
        <f t="shared" si="13"/>
        <v>815.43619692278457</v>
      </c>
      <c r="G147" s="282">
        <f t="shared" si="14"/>
        <v>316796.15837730857</v>
      </c>
    </row>
    <row r="148" spans="1:7" x14ac:dyDescent="0.3">
      <c r="A148" s="142">
        <v>138</v>
      </c>
      <c r="B148" s="252">
        <v>45930</v>
      </c>
      <c r="C148" s="282">
        <f t="shared" si="10"/>
        <v>316796.15837730857</v>
      </c>
      <c r="D148" s="282">
        <f t="shared" si="11"/>
        <v>2271.1560053880116</v>
      </c>
      <c r="E148" s="282">
        <f t="shared" si="12"/>
        <v>1451.9823925626642</v>
      </c>
      <c r="F148" s="282">
        <f t="shared" si="13"/>
        <v>819.17361282534739</v>
      </c>
      <c r="G148" s="282">
        <f t="shared" si="14"/>
        <v>315976.98476448323</v>
      </c>
    </row>
    <row r="149" spans="1:7" x14ac:dyDescent="0.3">
      <c r="A149" s="142">
        <v>139</v>
      </c>
      <c r="B149" s="252">
        <v>45961</v>
      </c>
      <c r="C149" s="282">
        <f t="shared" si="10"/>
        <v>315976.98476448323</v>
      </c>
      <c r="D149" s="282">
        <f t="shared" si="11"/>
        <v>2271.1560053880116</v>
      </c>
      <c r="E149" s="282">
        <f t="shared" si="12"/>
        <v>1448.2278468372149</v>
      </c>
      <c r="F149" s="282">
        <f t="shared" si="13"/>
        <v>822.92815855079675</v>
      </c>
      <c r="G149" s="282">
        <f t="shared" si="14"/>
        <v>315154.05660593242</v>
      </c>
    </row>
    <row r="150" spans="1:7" x14ac:dyDescent="0.3">
      <c r="A150" s="142">
        <v>140</v>
      </c>
      <c r="B150" s="252">
        <v>45991</v>
      </c>
      <c r="C150" s="282">
        <f t="shared" si="10"/>
        <v>315154.05660593242</v>
      </c>
      <c r="D150" s="282">
        <f t="shared" si="11"/>
        <v>2271.1560053880116</v>
      </c>
      <c r="E150" s="282">
        <f t="shared" si="12"/>
        <v>1444.4560927771902</v>
      </c>
      <c r="F150" s="282">
        <f t="shared" si="13"/>
        <v>826.69991261082146</v>
      </c>
      <c r="G150" s="282">
        <f t="shared" si="14"/>
        <v>314327.35669332161</v>
      </c>
    </row>
    <row r="151" spans="1:7" x14ac:dyDescent="0.3">
      <c r="A151" s="142">
        <v>141</v>
      </c>
      <c r="B151" s="252">
        <v>46022</v>
      </c>
      <c r="C151" s="282">
        <f t="shared" si="10"/>
        <v>314327.35669332161</v>
      </c>
      <c r="D151" s="282">
        <f t="shared" si="11"/>
        <v>2271.1560053880116</v>
      </c>
      <c r="E151" s="282">
        <f t="shared" si="12"/>
        <v>1440.6670515110573</v>
      </c>
      <c r="F151" s="282">
        <f t="shared" si="13"/>
        <v>830.48895387695438</v>
      </c>
      <c r="G151" s="282">
        <f t="shared" si="14"/>
        <v>313496.86773944466</v>
      </c>
    </row>
    <row r="152" spans="1:7" x14ac:dyDescent="0.3">
      <c r="A152" s="142">
        <v>142</v>
      </c>
      <c r="B152" s="252">
        <v>46053</v>
      </c>
      <c r="C152" s="282">
        <f t="shared" si="10"/>
        <v>313496.86773944466</v>
      </c>
      <c r="D152" s="282">
        <f t="shared" si="11"/>
        <v>2271.1560053880116</v>
      </c>
      <c r="E152" s="282">
        <f t="shared" si="12"/>
        <v>1436.860643805788</v>
      </c>
      <c r="F152" s="282">
        <f t="shared" si="13"/>
        <v>834.29536158222368</v>
      </c>
      <c r="G152" s="282">
        <f t="shared" si="14"/>
        <v>312662.57237786241</v>
      </c>
    </row>
    <row r="153" spans="1:7" x14ac:dyDescent="0.3">
      <c r="A153" s="142">
        <v>143</v>
      </c>
      <c r="B153" s="252">
        <v>46081</v>
      </c>
      <c r="C153" s="282">
        <f t="shared" si="10"/>
        <v>312662.57237786241</v>
      </c>
      <c r="D153" s="282">
        <f t="shared" si="11"/>
        <v>2271.1560053880116</v>
      </c>
      <c r="E153" s="282">
        <f t="shared" si="12"/>
        <v>1433.0367900652027</v>
      </c>
      <c r="F153" s="282">
        <f t="shared" si="13"/>
        <v>838.11921532280894</v>
      </c>
      <c r="G153" s="282">
        <f t="shared" si="14"/>
        <v>311824.45316253958</v>
      </c>
    </row>
    <row r="154" spans="1:7" x14ac:dyDescent="0.3">
      <c r="A154" s="142">
        <v>144</v>
      </c>
      <c r="B154" s="252">
        <v>46112</v>
      </c>
      <c r="C154" s="282">
        <f t="shared" si="10"/>
        <v>311824.45316253958</v>
      </c>
      <c r="D154" s="282">
        <f t="shared" si="11"/>
        <v>2271.1560053880116</v>
      </c>
      <c r="E154" s="282">
        <f t="shared" si="12"/>
        <v>1429.1954103283063</v>
      </c>
      <c r="F154" s="282">
        <f t="shared" si="13"/>
        <v>841.96059505970538</v>
      </c>
      <c r="G154" s="282">
        <f t="shared" si="14"/>
        <v>310982.49256747984</v>
      </c>
    </row>
    <row r="155" spans="1:7" x14ac:dyDescent="0.3">
      <c r="A155" s="142">
        <v>145</v>
      </c>
      <c r="B155" s="252">
        <v>46142</v>
      </c>
      <c r="C155" s="282">
        <f t="shared" si="10"/>
        <v>310982.49256747984</v>
      </c>
      <c r="D155" s="282">
        <f t="shared" si="11"/>
        <v>2271.1560053880116</v>
      </c>
      <c r="E155" s="282">
        <f t="shared" si="12"/>
        <v>1425.3364242676159</v>
      </c>
      <c r="F155" s="282">
        <f t="shared" si="13"/>
        <v>845.8195811203957</v>
      </c>
      <c r="G155" s="282">
        <f t="shared" si="14"/>
        <v>310136.67298635945</v>
      </c>
    </row>
    <row r="156" spans="1:7" x14ac:dyDescent="0.3">
      <c r="A156" s="142">
        <v>146</v>
      </c>
      <c r="B156" s="252">
        <v>46173</v>
      </c>
      <c r="C156" s="282">
        <f t="shared" si="10"/>
        <v>310136.67298635945</v>
      </c>
      <c r="D156" s="282">
        <f t="shared" si="11"/>
        <v>2271.1560053880116</v>
      </c>
      <c r="E156" s="282">
        <f t="shared" si="12"/>
        <v>1421.4597511874808</v>
      </c>
      <c r="F156" s="282">
        <f t="shared" si="13"/>
        <v>849.6962542005308</v>
      </c>
      <c r="G156" s="282">
        <f t="shared" si="14"/>
        <v>309286.97673215892</v>
      </c>
    </row>
    <row r="157" spans="1:7" x14ac:dyDescent="0.3">
      <c r="A157" s="142">
        <v>147</v>
      </c>
      <c r="B157" s="252">
        <v>46203</v>
      </c>
      <c r="C157" s="282">
        <f t="shared" si="10"/>
        <v>309286.97673215892</v>
      </c>
      <c r="D157" s="282">
        <f t="shared" si="11"/>
        <v>2271.1560053880116</v>
      </c>
      <c r="E157" s="282">
        <f t="shared" si="12"/>
        <v>1417.5653100223951</v>
      </c>
      <c r="F157" s="282">
        <f t="shared" si="13"/>
        <v>853.59069536561651</v>
      </c>
      <c r="G157" s="282">
        <f t="shared" si="14"/>
        <v>308433.38603679329</v>
      </c>
    </row>
    <row r="158" spans="1:7" x14ac:dyDescent="0.3">
      <c r="A158" s="142">
        <v>148</v>
      </c>
      <c r="B158" s="252">
        <v>46234</v>
      </c>
      <c r="C158" s="282">
        <f t="shared" si="10"/>
        <v>308433.38603679329</v>
      </c>
      <c r="D158" s="282">
        <f t="shared" si="11"/>
        <v>2271.1560053880116</v>
      </c>
      <c r="E158" s="282">
        <f t="shared" si="12"/>
        <v>1413.6530193353026</v>
      </c>
      <c r="F158" s="282">
        <f t="shared" si="13"/>
        <v>857.50298605270905</v>
      </c>
      <c r="G158" s="282">
        <f t="shared" si="14"/>
        <v>307575.88305074058</v>
      </c>
    </row>
    <row r="159" spans="1:7" x14ac:dyDescent="0.3">
      <c r="A159" s="142">
        <v>149</v>
      </c>
      <c r="B159" s="252">
        <v>46265</v>
      </c>
      <c r="C159" s="282">
        <f t="shared" si="10"/>
        <v>307575.88305074058</v>
      </c>
      <c r="D159" s="282">
        <f t="shared" si="11"/>
        <v>2271.1560053880116</v>
      </c>
      <c r="E159" s="282">
        <f t="shared" si="12"/>
        <v>1409.7227973158942</v>
      </c>
      <c r="F159" s="282">
        <f t="shared" si="13"/>
        <v>861.4332080721174</v>
      </c>
      <c r="G159" s="282">
        <f t="shared" si="14"/>
        <v>306714.44984266849</v>
      </c>
    </row>
    <row r="160" spans="1:7" x14ac:dyDescent="0.3">
      <c r="A160" s="142">
        <v>150</v>
      </c>
      <c r="B160" s="252">
        <v>46295</v>
      </c>
      <c r="C160" s="282">
        <f t="shared" si="10"/>
        <v>306714.44984266849</v>
      </c>
      <c r="D160" s="282">
        <f t="shared" si="11"/>
        <v>2271.1560053880116</v>
      </c>
      <c r="E160" s="282">
        <f t="shared" si="12"/>
        <v>1405.7745617788971</v>
      </c>
      <c r="F160" s="282">
        <f t="shared" si="13"/>
        <v>865.38144360911451</v>
      </c>
      <c r="G160" s="282">
        <f t="shared" si="14"/>
        <v>305849.06839905935</v>
      </c>
    </row>
    <row r="161" spans="1:7" x14ac:dyDescent="0.3">
      <c r="A161" s="142">
        <v>151</v>
      </c>
      <c r="B161" s="252">
        <v>46326</v>
      </c>
      <c r="C161" s="282">
        <f t="shared" si="10"/>
        <v>305849.06839905935</v>
      </c>
      <c r="D161" s="282">
        <f t="shared" si="11"/>
        <v>2271.1560053880116</v>
      </c>
      <c r="E161" s="282">
        <f t="shared" si="12"/>
        <v>1401.8082301623554</v>
      </c>
      <c r="F161" s="282">
        <f t="shared" si="13"/>
        <v>869.34777522565628</v>
      </c>
      <c r="G161" s="282">
        <f t="shared" si="14"/>
        <v>304979.72062383371</v>
      </c>
    </row>
    <row r="162" spans="1:7" x14ac:dyDescent="0.3">
      <c r="A162" s="142">
        <v>152</v>
      </c>
      <c r="B162" s="252">
        <v>46356</v>
      </c>
      <c r="C162" s="282">
        <f t="shared" si="10"/>
        <v>304979.72062383371</v>
      </c>
      <c r="D162" s="282">
        <f t="shared" si="11"/>
        <v>2271.1560053880116</v>
      </c>
      <c r="E162" s="282">
        <f t="shared" si="12"/>
        <v>1397.8237195259044</v>
      </c>
      <c r="F162" s="282">
        <f t="shared" si="13"/>
        <v>873.33228586210726</v>
      </c>
      <c r="G162" s="282">
        <f t="shared" si="14"/>
        <v>304106.38833797158</v>
      </c>
    </row>
    <row r="163" spans="1:7" x14ac:dyDescent="0.3">
      <c r="A163" s="142">
        <v>153</v>
      </c>
      <c r="B163" s="252">
        <v>46387</v>
      </c>
      <c r="C163" s="282">
        <f t="shared" si="10"/>
        <v>304106.38833797158</v>
      </c>
      <c r="D163" s="282">
        <f t="shared" si="11"/>
        <v>2271.1560053880116</v>
      </c>
      <c r="E163" s="282">
        <f t="shared" si="12"/>
        <v>1393.8209465490363</v>
      </c>
      <c r="F163" s="282">
        <f t="shared" si="13"/>
        <v>877.33505883897533</v>
      </c>
      <c r="G163" s="282">
        <f t="shared" si="14"/>
        <v>303229.05327913258</v>
      </c>
    </row>
    <row r="164" spans="1:7" x14ac:dyDescent="0.3">
      <c r="A164" s="142">
        <v>154</v>
      </c>
      <c r="B164" s="252">
        <v>46418</v>
      </c>
      <c r="C164" s="282">
        <f t="shared" si="10"/>
        <v>303229.05327913258</v>
      </c>
      <c r="D164" s="282">
        <f t="shared" si="11"/>
        <v>2271.1560053880116</v>
      </c>
      <c r="E164" s="282">
        <f t="shared" si="12"/>
        <v>1389.7998275293576</v>
      </c>
      <c r="F164" s="282">
        <f t="shared" si="13"/>
        <v>881.35617785865406</v>
      </c>
      <c r="G164" s="282">
        <f t="shared" si="14"/>
        <v>302347.69710127392</v>
      </c>
    </row>
    <row r="165" spans="1:7" x14ac:dyDescent="0.3">
      <c r="A165" s="142">
        <v>155</v>
      </c>
      <c r="B165" s="252">
        <v>46446</v>
      </c>
      <c r="C165" s="282">
        <f t="shared" si="10"/>
        <v>302347.69710127392</v>
      </c>
      <c r="D165" s="282">
        <f t="shared" si="11"/>
        <v>2271.1560053880116</v>
      </c>
      <c r="E165" s="282">
        <f t="shared" si="12"/>
        <v>1385.7602783808388</v>
      </c>
      <c r="F165" s="282">
        <f t="shared" si="13"/>
        <v>885.39572700717281</v>
      </c>
      <c r="G165" s="282">
        <f t="shared" si="14"/>
        <v>301462.30137426674</v>
      </c>
    </row>
    <row r="166" spans="1:7" x14ac:dyDescent="0.3">
      <c r="A166" s="142">
        <v>156</v>
      </c>
      <c r="B166" s="252">
        <v>46477</v>
      </c>
      <c r="C166" s="282">
        <f t="shared" si="10"/>
        <v>301462.30137426674</v>
      </c>
      <c r="D166" s="282">
        <f t="shared" si="11"/>
        <v>2271.1560053880116</v>
      </c>
      <c r="E166" s="282">
        <f t="shared" si="12"/>
        <v>1381.702214632056</v>
      </c>
      <c r="F166" s="282">
        <f t="shared" si="13"/>
        <v>889.45379075595565</v>
      </c>
      <c r="G166" s="282">
        <f t="shared" si="14"/>
        <v>300572.8475835108</v>
      </c>
    </row>
    <row r="167" spans="1:7" x14ac:dyDescent="0.3">
      <c r="A167" s="142">
        <v>157</v>
      </c>
      <c r="B167" s="252">
        <v>46507</v>
      </c>
      <c r="C167" s="282">
        <f t="shared" si="10"/>
        <v>300572.8475835108</v>
      </c>
      <c r="D167" s="282">
        <f t="shared" si="11"/>
        <v>2271.1560053880116</v>
      </c>
      <c r="E167" s="282">
        <f t="shared" si="12"/>
        <v>1377.6255514244247</v>
      </c>
      <c r="F167" s="282">
        <f t="shared" si="13"/>
        <v>893.53045396358698</v>
      </c>
      <c r="G167" s="282">
        <f t="shared" si="14"/>
        <v>299679.31712954718</v>
      </c>
    </row>
    <row r="168" spans="1:7" x14ac:dyDescent="0.3">
      <c r="A168" s="142">
        <v>158</v>
      </c>
      <c r="B168" s="252">
        <v>46538</v>
      </c>
      <c r="C168" s="282">
        <f t="shared" si="10"/>
        <v>299679.31712954718</v>
      </c>
      <c r="D168" s="282">
        <f t="shared" si="11"/>
        <v>2271.1560053880116</v>
      </c>
      <c r="E168" s="282">
        <f t="shared" si="12"/>
        <v>1373.5302035104248</v>
      </c>
      <c r="F168" s="282">
        <f t="shared" si="13"/>
        <v>897.62580187758681</v>
      </c>
      <c r="G168" s="282">
        <f t="shared" si="14"/>
        <v>298781.6913276696</v>
      </c>
    </row>
    <row r="169" spans="1:7" x14ac:dyDescent="0.3">
      <c r="A169" s="142">
        <v>159</v>
      </c>
      <c r="B169" s="252">
        <v>46568</v>
      </c>
      <c r="C169" s="282">
        <f t="shared" si="10"/>
        <v>298781.6913276696</v>
      </c>
      <c r="D169" s="282">
        <f t="shared" si="11"/>
        <v>2271.1560053880116</v>
      </c>
      <c r="E169" s="282">
        <f t="shared" si="12"/>
        <v>1369.4160852518189</v>
      </c>
      <c r="F169" s="282">
        <f t="shared" si="13"/>
        <v>901.73992013619272</v>
      </c>
      <c r="G169" s="282">
        <f t="shared" si="14"/>
        <v>297879.95140753343</v>
      </c>
    </row>
    <row r="170" spans="1:7" x14ac:dyDescent="0.3">
      <c r="A170" s="142">
        <v>160</v>
      </c>
      <c r="B170" s="252">
        <v>46599</v>
      </c>
      <c r="C170" s="282">
        <f t="shared" si="10"/>
        <v>297879.95140753343</v>
      </c>
      <c r="D170" s="282">
        <f t="shared" si="11"/>
        <v>2271.1560053880116</v>
      </c>
      <c r="E170" s="282">
        <f t="shared" si="12"/>
        <v>1365.2831106178617</v>
      </c>
      <c r="F170" s="282">
        <f t="shared" si="13"/>
        <v>905.87289477014997</v>
      </c>
      <c r="G170" s="282">
        <f t="shared" si="14"/>
        <v>296974.07851276326</v>
      </c>
    </row>
    <row r="171" spans="1:7" x14ac:dyDescent="0.3">
      <c r="A171" s="142">
        <v>161</v>
      </c>
      <c r="B171" s="252">
        <v>46630</v>
      </c>
      <c r="C171" s="282">
        <f t="shared" si="10"/>
        <v>296974.07851276326</v>
      </c>
      <c r="D171" s="282">
        <f t="shared" si="11"/>
        <v>2271.1560053880116</v>
      </c>
      <c r="E171" s="282">
        <f t="shared" si="12"/>
        <v>1361.1311931834982</v>
      </c>
      <c r="F171" s="282">
        <f t="shared" si="13"/>
        <v>910.02481220451341</v>
      </c>
      <c r="G171" s="282">
        <f t="shared" si="14"/>
        <v>296064.05370055872</v>
      </c>
    </row>
    <row r="172" spans="1:7" x14ac:dyDescent="0.3">
      <c r="A172" s="142">
        <v>162</v>
      </c>
      <c r="B172" s="252">
        <v>46660</v>
      </c>
      <c r="C172" s="282">
        <f t="shared" si="10"/>
        <v>296064.05370055872</v>
      </c>
      <c r="D172" s="282">
        <f t="shared" si="11"/>
        <v>2271.1560053880116</v>
      </c>
      <c r="E172" s="282">
        <f t="shared" si="12"/>
        <v>1356.9602461275608</v>
      </c>
      <c r="F172" s="282">
        <f t="shared" si="13"/>
        <v>914.19575926045081</v>
      </c>
      <c r="G172" s="282">
        <f t="shared" si="14"/>
        <v>295149.85794129828</v>
      </c>
    </row>
    <row r="173" spans="1:7" x14ac:dyDescent="0.3">
      <c r="A173" s="142">
        <v>163</v>
      </c>
      <c r="B173" s="252">
        <v>46691</v>
      </c>
      <c r="C173" s="282">
        <f t="shared" si="10"/>
        <v>295149.85794129828</v>
      </c>
      <c r="D173" s="282">
        <f t="shared" si="11"/>
        <v>2271.1560053880116</v>
      </c>
      <c r="E173" s="282">
        <f t="shared" si="12"/>
        <v>1352.7701822309505</v>
      </c>
      <c r="F173" s="282">
        <f t="shared" si="13"/>
        <v>918.38582315706117</v>
      </c>
      <c r="G173" s="282">
        <f t="shared" si="14"/>
        <v>294231.47211814125</v>
      </c>
    </row>
    <row r="174" spans="1:7" x14ac:dyDescent="0.3">
      <c r="A174" s="142">
        <v>164</v>
      </c>
      <c r="B174" s="252">
        <v>46721</v>
      </c>
      <c r="C174" s="282">
        <f t="shared" si="10"/>
        <v>294231.47211814125</v>
      </c>
      <c r="D174" s="282">
        <f t="shared" si="11"/>
        <v>2271.1560053880116</v>
      </c>
      <c r="E174" s="282">
        <f t="shared" si="12"/>
        <v>1348.5609138748141</v>
      </c>
      <c r="F174" s="282">
        <f t="shared" si="13"/>
        <v>922.59509151319753</v>
      </c>
      <c r="G174" s="282">
        <f t="shared" si="14"/>
        <v>293308.87702662806</v>
      </c>
    </row>
    <row r="175" spans="1:7" x14ac:dyDescent="0.3">
      <c r="A175" s="142">
        <v>165</v>
      </c>
      <c r="B175" s="252">
        <v>46752</v>
      </c>
      <c r="C175" s="282">
        <f t="shared" si="10"/>
        <v>293308.87702662806</v>
      </c>
      <c r="D175" s="282">
        <f t="shared" si="11"/>
        <v>2271.1560053880116</v>
      </c>
      <c r="E175" s="282">
        <f t="shared" si="12"/>
        <v>1344.332353038712</v>
      </c>
      <c r="F175" s="282">
        <f t="shared" si="13"/>
        <v>926.82365234929966</v>
      </c>
      <c r="G175" s="282">
        <f t="shared" si="14"/>
        <v>292382.05337427877</v>
      </c>
    </row>
    <row r="176" spans="1:7" x14ac:dyDescent="0.3">
      <c r="A176" s="142">
        <v>166</v>
      </c>
      <c r="B176" s="252">
        <v>46783</v>
      </c>
      <c r="C176" s="282">
        <f t="shared" si="10"/>
        <v>292382.05337427877</v>
      </c>
      <c r="D176" s="282">
        <f t="shared" si="11"/>
        <v>2271.1560053880116</v>
      </c>
      <c r="E176" s="282">
        <f t="shared" si="12"/>
        <v>1340.0844112987777</v>
      </c>
      <c r="F176" s="282">
        <f t="shared" si="13"/>
        <v>931.07159408923394</v>
      </c>
      <c r="G176" s="282">
        <f t="shared" si="14"/>
        <v>291450.98178018956</v>
      </c>
    </row>
    <row r="177" spans="1:7" x14ac:dyDescent="0.3">
      <c r="A177" s="142">
        <v>167</v>
      </c>
      <c r="B177" s="252">
        <v>46812</v>
      </c>
      <c r="C177" s="282">
        <f t="shared" si="10"/>
        <v>291450.98178018956</v>
      </c>
      <c r="D177" s="282">
        <f t="shared" si="11"/>
        <v>2271.1560053880116</v>
      </c>
      <c r="E177" s="282">
        <f t="shared" si="12"/>
        <v>1335.8169998258688</v>
      </c>
      <c r="F177" s="282">
        <f t="shared" si="13"/>
        <v>935.3390055621428</v>
      </c>
      <c r="G177" s="282">
        <f t="shared" si="14"/>
        <v>290515.64277462743</v>
      </c>
    </row>
    <row r="178" spans="1:7" x14ac:dyDescent="0.3">
      <c r="A178" s="142">
        <v>168</v>
      </c>
      <c r="B178" s="252">
        <v>46843</v>
      </c>
      <c r="C178" s="282">
        <f t="shared" si="10"/>
        <v>290515.64277462743</v>
      </c>
      <c r="D178" s="282">
        <f t="shared" si="11"/>
        <v>2271.1560053880116</v>
      </c>
      <c r="E178" s="282">
        <f t="shared" si="12"/>
        <v>1331.530029383709</v>
      </c>
      <c r="F178" s="282">
        <f t="shared" si="13"/>
        <v>939.62597600430263</v>
      </c>
      <c r="G178" s="282">
        <f t="shared" si="14"/>
        <v>289576.01679862314</v>
      </c>
    </row>
    <row r="179" spans="1:7" x14ac:dyDescent="0.3">
      <c r="A179" s="142">
        <v>169</v>
      </c>
      <c r="B179" s="252">
        <v>46873</v>
      </c>
      <c r="C179" s="282">
        <f t="shared" si="10"/>
        <v>289576.01679862314</v>
      </c>
      <c r="D179" s="282">
        <f t="shared" si="11"/>
        <v>2271.1560053880116</v>
      </c>
      <c r="E179" s="282">
        <f t="shared" si="12"/>
        <v>1327.2234103270227</v>
      </c>
      <c r="F179" s="282">
        <f t="shared" si="13"/>
        <v>943.93259506098889</v>
      </c>
      <c r="G179" s="282">
        <f t="shared" si="14"/>
        <v>288632.08420356218</v>
      </c>
    </row>
    <row r="180" spans="1:7" x14ac:dyDescent="0.3">
      <c r="A180" s="142">
        <v>170</v>
      </c>
      <c r="B180" s="252">
        <v>46904</v>
      </c>
      <c r="C180" s="282">
        <f t="shared" si="10"/>
        <v>288632.08420356218</v>
      </c>
      <c r="D180" s="282">
        <f t="shared" si="11"/>
        <v>2271.1560053880116</v>
      </c>
      <c r="E180" s="282">
        <f t="shared" si="12"/>
        <v>1322.8970525996599</v>
      </c>
      <c r="F180" s="282">
        <f t="shared" si="13"/>
        <v>948.25895278835173</v>
      </c>
      <c r="G180" s="282">
        <f t="shared" si="14"/>
        <v>287683.82525077381</v>
      </c>
    </row>
    <row r="181" spans="1:7" x14ac:dyDescent="0.3">
      <c r="A181" s="142">
        <v>171</v>
      </c>
      <c r="B181" s="252">
        <v>46934</v>
      </c>
      <c r="C181" s="282">
        <f t="shared" si="10"/>
        <v>287683.82525077381</v>
      </c>
      <c r="D181" s="282">
        <f t="shared" si="11"/>
        <v>2271.1560053880116</v>
      </c>
      <c r="E181" s="282">
        <f t="shared" si="12"/>
        <v>1318.5508657327134</v>
      </c>
      <c r="F181" s="282">
        <f t="shared" si="13"/>
        <v>952.60513965529822</v>
      </c>
      <c r="G181" s="282">
        <f t="shared" si="14"/>
        <v>286731.22011111851</v>
      </c>
    </row>
    <row r="182" spans="1:7" x14ac:dyDescent="0.3">
      <c r="A182" s="142">
        <v>172</v>
      </c>
      <c r="B182" s="252">
        <v>46965</v>
      </c>
      <c r="C182" s="282">
        <f t="shared" si="10"/>
        <v>286731.22011111851</v>
      </c>
      <c r="D182" s="282">
        <f t="shared" si="11"/>
        <v>2271.1560053880116</v>
      </c>
      <c r="E182" s="282">
        <f t="shared" si="12"/>
        <v>1314.1847588426265</v>
      </c>
      <c r="F182" s="282">
        <f t="shared" si="13"/>
        <v>956.97124654538516</v>
      </c>
      <c r="G182" s="282">
        <f t="shared" si="14"/>
        <v>285774.24886457314</v>
      </c>
    </row>
    <row r="183" spans="1:7" x14ac:dyDescent="0.3">
      <c r="A183" s="142">
        <v>173</v>
      </c>
      <c r="B183" s="252">
        <v>46996</v>
      </c>
      <c r="C183" s="282">
        <f t="shared" si="10"/>
        <v>285774.24886457314</v>
      </c>
      <c r="D183" s="282">
        <f t="shared" si="11"/>
        <v>2271.1560053880116</v>
      </c>
      <c r="E183" s="282">
        <f t="shared" si="12"/>
        <v>1309.7986406292937</v>
      </c>
      <c r="F183" s="282">
        <f t="shared" si="13"/>
        <v>961.35736475871795</v>
      </c>
      <c r="G183" s="282">
        <f t="shared" si="14"/>
        <v>284812.8914998144</v>
      </c>
    </row>
    <row r="184" spans="1:7" x14ac:dyDescent="0.3">
      <c r="A184" s="142">
        <v>174</v>
      </c>
      <c r="B184" s="252">
        <v>47026</v>
      </c>
      <c r="C184" s="282">
        <f t="shared" si="10"/>
        <v>284812.8914998144</v>
      </c>
      <c r="D184" s="282">
        <f t="shared" si="11"/>
        <v>2271.1560053880116</v>
      </c>
      <c r="E184" s="282">
        <f t="shared" si="12"/>
        <v>1305.3924193741493</v>
      </c>
      <c r="F184" s="282">
        <f t="shared" si="13"/>
        <v>965.76358601386232</v>
      </c>
      <c r="G184" s="282">
        <f t="shared" si="14"/>
        <v>283847.12791380053</v>
      </c>
    </row>
    <row r="185" spans="1:7" x14ac:dyDescent="0.3">
      <c r="A185" s="142">
        <v>175</v>
      </c>
      <c r="B185" s="252">
        <v>47057</v>
      </c>
      <c r="C185" s="282">
        <f t="shared" si="10"/>
        <v>283847.12791380053</v>
      </c>
      <c r="D185" s="282">
        <f t="shared" si="11"/>
        <v>2271.1560053880116</v>
      </c>
      <c r="E185" s="282">
        <f t="shared" si="12"/>
        <v>1300.9660029382524</v>
      </c>
      <c r="F185" s="282">
        <f t="shared" si="13"/>
        <v>970.19000244975928</v>
      </c>
      <c r="G185" s="282">
        <f t="shared" si="14"/>
        <v>282876.93791135075</v>
      </c>
    </row>
    <row r="186" spans="1:7" x14ac:dyDescent="0.3">
      <c r="A186" s="142">
        <v>176</v>
      </c>
      <c r="B186" s="252">
        <v>47087</v>
      </c>
      <c r="C186" s="282">
        <f t="shared" si="10"/>
        <v>282876.93791135075</v>
      </c>
      <c r="D186" s="282">
        <f t="shared" si="11"/>
        <v>2271.1560053880116</v>
      </c>
      <c r="E186" s="282">
        <f t="shared" si="12"/>
        <v>1296.5192987603575</v>
      </c>
      <c r="F186" s="282">
        <f t="shared" si="13"/>
        <v>974.63670662765412</v>
      </c>
      <c r="G186" s="282">
        <f t="shared" si="14"/>
        <v>281902.30120472307</v>
      </c>
    </row>
    <row r="187" spans="1:7" x14ac:dyDescent="0.3">
      <c r="A187" s="142">
        <v>177</v>
      </c>
      <c r="B187" s="252">
        <v>47118</v>
      </c>
      <c r="C187" s="282">
        <f t="shared" si="10"/>
        <v>281902.30120472307</v>
      </c>
      <c r="D187" s="282">
        <f t="shared" si="11"/>
        <v>2271.1560053880116</v>
      </c>
      <c r="E187" s="282">
        <f t="shared" si="12"/>
        <v>1292.0522138549807</v>
      </c>
      <c r="F187" s="282">
        <f t="shared" si="13"/>
        <v>979.10379153303097</v>
      </c>
      <c r="G187" s="282">
        <f t="shared" si="14"/>
        <v>280923.19741319004</v>
      </c>
    </row>
    <row r="188" spans="1:7" x14ac:dyDescent="0.3">
      <c r="A188" s="142">
        <v>178</v>
      </c>
      <c r="B188" s="252">
        <v>47149</v>
      </c>
      <c r="C188" s="282">
        <f t="shared" si="10"/>
        <v>280923.19741319004</v>
      </c>
      <c r="D188" s="282">
        <f t="shared" si="11"/>
        <v>2271.1560053880116</v>
      </c>
      <c r="E188" s="282">
        <f t="shared" si="12"/>
        <v>1287.5646548104544</v>
      </c>
      <c r="F188" s="282">
        <f t="shared" si="13"/>
        <v>983.59135057755725</v>
      </c>
      <c r="G188" s="282">
        <f t="shared" si="14"/>
        <v>279939.6060626125</v>
      </c>
    </row>
    <row r="189" spans="1:7" x14ac:dyDescent="0.3">
      <c r="A189" s="142">
        <v>179</v>
      </c>
      <c r="B189" s="252">
        <v>47177</v>
      </c>
      <c r="C189" s="282">
        <f t="shared" si="10"/>
        <v>279939.6060626125</v>
      </c>
      <c r="D189" s="282">
        <f t="shared" si="11"/>
        <v>2271.1560053880116</v>
      </c>
      <c r="E189" s="282">
        <f t="shared" si="12"/>
        <v>1283.0565277869739</v>
      </c>
      <c r="F189" s="282">
        <f t="shared" si="13"/>
        <v>988.09947760103773</v>
      </c>
      <c r="G189" s="282">
        <f t="shared" si="14"/>
        <v>278951.50658501143</v>
      </c>
    </row>
    <row r="190" spans="1:7" x14ac:dyDescent="0.3">
      <c r="A190" s="142">
        <v>180</v>
      </c>
      <c r="B190" s="252">
        <v>47208</v>
      </c>
      <c r="C190" s="282">
        <f t="shared" si="10"/>
        <v>278951.50658501143</v>
      </c>
      <c r="D190" s="282">
        <f t="shared" si="11"/>
        <v>2271.1560053880116</v>
      </c>
      <c r="E190" s="282">
        <f t="shared" si="12"/>
        <v>1278.5277385146358</v>
      </c>
      <c r="F190" s="282">
        <f t="shared" si="13"/>
        <v>992.62826687337588</v>
      </c>
      <c r="G190" s="282">
        <f t="shared" si="14"/>
        <v>277958.87831813807</v>
      </c>
    </row>
    <row r="191" spans="1:7" x14ac:dyDescent="0.3">
      <c r="A191" s="142">
        <v>181</v>
      </c>
      <c r="B191" s="252">
        <v>47238</v>
      </c>
      <c r="C191" s="282">
        <f t="shared" si="10"/>
        <v>277958.87831813807</v>
      </c>
      <c r="D191" s="282">
        <f t="shared" si="11"/>
        <v>2271.1560053880116</v>
      </c>
      <c r="E191" s="282">
        <f t="shared" si="12"/>
        <v>1273.978192291466</v>
      </c>
      <c r="F191" s="282">
        <f t="shared" si="13"/>
        <v>997.17781309654561</v>
      </c>
      <c r="G191" s="282">
        <f t="shared" si="14"/>
        <v>276961.70050504152</v>
      </c>
    </row>
    <row r="192" spans="1:7" x14ac:dyDescent="0.3">
      <c r="A192" s="142">
        <v>182</v>
      </c>
      <c r="B192" s="252">
        <v>47269</v>
      </c>
      <c r="C192" s="282">
        <f t="shared" si="10"/>
        <v>276961.70050504152</v>
      </c>
      <c r="D192" s="282">
        <f t="shared" si="11"/>
        <v>2271.1560053880116</v>
      </c>
      <c r="E192" s="282">
        <f t="shared" si="12"/>
        <v>1269.4077939814404</v>
      </c>
      <c r="F192" s="282">
        <f t="shared" si="13"/>
        <v>1001.7482114065713</v>
      </c>
      <c r="G192" s="282">
        <f t="shared" si="14"/>
        <v>275959.95229363494</v>
      </c>
    </row>
    <row r="193" spans="1:7" x14ac:dyDescent="0.3">
      <c r="A193" s="142">
        <v>183</v>
      </c>
      <c r="B193" s="252">
        <v>47299</v>
      </c>
      <c r="C193" s="282">
        <f t="shared" si="10"/>
        <v>275959.95229363494</v>
      </c>
      <c r="D193" s="282">
        <f t="shared" si="11"/>
        <v>2271.1560053880116</v>
      </c>
      <c r="E193" s="282">
        <f t="shared" si="12"/>
        <v>1264.8164480124935</v>
      </c>
      <c r="F193" s="282">
        <f t="shared" si="13"/>
        <v>1006.3395573755181</v>
      </c>
      <c r="G193" s="282">
        <f t="shared" si="14"/>
        <v>274953.61273625941</v>
      </c>
    </row>
    <row r="194" spans="1:7" x14ac:dyDescent="0.3">
      <c r="A194" s="142">
        <v>184</v>
      </c>
      <c r="B194" s="252">
        <v>47330</v>
      </c>
      <c r="C194" s="282">
        <f t="shared" si="10"/>
        <v>274953.61273625941</v>
      </c>
      <c r="D194" s="282">
        <f t="shared" si="11"/>
        <v>2271.1560053880116</v>
      </c>
      <c r="E194" s="282">
        <f t="shared" si="12"/>
        <v>1260.2040583745222</v>
      </c>
      <c r="F194" s="282">
        <f t="shared" si="13"/>
        <v>1010.9519470134894</v>
      </c>
      <c r="G194" s="282">
        <f t="shared" si="14"/>
        <v>273942.66078924591</v>
      </c>
    </row>
    <row r="195" spans="1:7" x14ac:dyDescent="0.3">
      <c r="A195" s="142">
        <v>185</v>
      </c>
      <c r="B195" s="252">
        <v>47361</v>
      </c>
      <c r="C195" s="282">
        <f t="shared" si="10"/>
        <v>273942.66078924591</v>
      </c>
      <c r="D195" s="282">
        <f t="shared" si="11"/>
        <v>2271.1560053880116</v>
      </c>
      <c r="E195" s="282">
        <f t="shared" si="12"/>
        <v>1255.5705286173772</v>
      </c>
      <c r="F195" s="282">
        <f t="shared" si="13"/>
        <v>1015.5854767706344</v>
      </c>
      <c r="G195" s="282">
        <f t="shared" si="14"/>
        <v>272927.07531247527</v>
      </c>
    </row>
    <row r="196" spans="1:7" x14ac:dyDescent="0.3">
      <c r="A196" s="142">
        <v>186</v>
      </c>
      <c r="B196" s="252">
        <v>47391</v>
      </c>
      <c r="C196" s="282">
        <f t="shared" si="10"/>
        <v>272927.07531247527</v>
      </c>
      <c r="D196" s="282">
        <f t="shared" si="11"/>
        <v>2271.1560053880116</v>
      </c>
      <c r="E196" s="282">
        <f t="shared" si="12"/>
        <v>1250.915761848845</v>
      </c>
      <c r="F196" s="282">
        <f t="shared" si="13"/>
        <v>1020.2402435391666</v>
      </c>
      <c r="G196" s="282">
        <f t="shared" si="14"/>
        <v>271906.83506893611</v>
      </c>
    </row>
    <row r="197" spans="1:7" x14ac:dyDescent="0.3">
      <c r="A197" s="142">
        <v>187</v>
      </c>
      <c r="B197" s="252">
        <v>47422</v>
      </c>
      <c r="C197" s="282">
        <f t="shared" si="10"/>
        <v>271906.83506893611</v>
      </c>
      <c r="D197" s="282">
        <f t="shared" si="11"/>
        <v>2271.1560053880116</v>
      </c>
      <c r="E197" s="282">
        <f t="shared" si="12"/>
        <v>1246.2396607326239</v>
      </c>
      <c r="F197" s="282">
        <f t="shared" si="13"/>
        <v>1024.9163446553878</v>
      </c>
      <c r="G197" s="282">
        <f t="shared" si="14"/>
        <v>270881.91872428072</v>
      </c>
    </row>
    <row r="198" spans="1:7" x14ac:dyDescent="0.3">
      <c r="A198" s="142">
        <v>188</v>
      </c>
      <c r="B198" s="252">
        <v>47452</v>
      </c>
      <c r="C198" s="282">
        <f t="shared" si="10"/>
        <v>270881.91872428072</v>
      </c>
      <c r="D198" s="282">
        <f t="shared" si="11"/>
        <v>2271.1560053880116</v>
      </c>
      <c r="E198" s="282">
        <f t="shared" si="12"/>
        <v>1241.5421274862867</v>
      </c>
      <c r="F198" s="282">
        <f t="shared" si="13"/>
        <v>1029.6138779017249</v>
      </c>
      <c r="G198" s="282">
        <f t="shared" si="14"/>
        <v>269852.30484637897</v>
      </c>
    </row>
    <row r="199" spans="1:7" x14ac:dyDescent="0.3">
      <c r="A199" s="142">
        <v>189</v>
      </c>
      <c r="B199" s="252">
        <v>47483</v>
      </c>
      <c r="C199" s="282">
        <f t="shared" si="10"/>
        <v>269852.30484637897</v>
      </c>
      <c r="D199" s="282">
        <f t="shared" si="11"/>
        <v>2271.1560053880116</v>
      </c>
      <c r="E199" s="282">
        <f t="shared" si="12"/>
        <v>1236.823063879237</v>
      </c>
      <c r="F199" s="282">
        <f t="shared" si="13"/>
        <v>1034.3329415087746</v>
      </c>
      <c r="G199" s="282">
        <f t="shared" si="14"/>
        <v>268817.97190487018</v>
      </c>
    </row>
    <row r="200" spans="1:7" x14ac:dyDescent="0.3">
      <c r="A200" s="142">
        <v>190</v>
      </c>
      <c r="B200" s="252">
        <v>47514</v>
      </c>
      <c r="C200" s="282">
        <f t="shared" si="10"/>
        <v>268817.97190487018</v>
      </c>
      <c r="D200" s="282">
        <f t="shared" si="11"/>
        <v>2271.1560053880116</v>
      </c>
      <c r="E200" s="282">
        <f t="shared" si="12"/>
        <v>1232.0823712306549</v>
      </c>
      <c r="F200" s="282">
        <f t="shared" si="13"/>
        <v>1039.0736341573568</v>
      </c>
      <c r="G200" s="282">
        <f t="shared" si="14"/>
        <v>267778.89827071282</v>
      </c>
    </row>
    <row r="201" spans="1:7" x14ac:dyDescent="0.3">
      <c r="A201" s="142">
        <v>191</v>
      </c>
      <c r="B201" s="252">
        <v>47542</v>
      </c>
      <c r="C201" s="282">
        <f t="shared" si="10"/>
        <v>267778.89827071282</v>
      </c>
      <c r="D201" s="282">
        <f t="shared" si="11"/>
        <v>2271.1560053880116</v>
      </c>
      <c r="E201" s="282">
        <f t="shared" si="12"/>
        <v>1227.3199504074337</v>
      </c>
      <c r="F201" s="282">
        <f t="shared" si="13"/>
        <v>1043.836054980578</v>
      </c>
      <c r="G201" s="282">
        <f t="shared" si="14"/>
        <v>266735.06221573224</v>
      </c>
    </row>
    <row r="202" spans="1:7" x14ac:dyDescent="0.3">
      <c r="A202" s="142">
        <v>192</v>
      </c>
      <c r="B202" s="252">
        <v>47573</v>
      </c>
      <c r="C202" s="282">
        <f t="shared" si="10"/>
        <v>266735.06221573224</v>
      </c>
      <c r="D202" s="282">
        <f t="shared" si="11"/>
        <v>2271.1560053880116</v>
      </c>
      <c r="E202" s="282">
        <f t="shared" si="12"/>
        <v>1222.5357018221061</v>
      </c>
      <c r="F202" s="282">
        <f t="shared" si="13"/>
        <v>1048.6203035659055</v>
      </c>
      <c r="G202" s="282">
        <f t="shared" si="14"/>
        <v>265686.44191216631</v>
      </c>
    </row>
    <row r="203" spans="1:7" x14ac:dyDescent="0.3">
      <c r="A203" s="142">
        <v>193</v>
      </c>
      <c r="B203" s="252">
        <v>47603</v>
      </c>
      <c r="C203" s="282">
        <f t="shared" si="10"/>
        <v>265686.44191216631</v>
      </c>
      <c r="D203" s="282">
        <f t="shared" si="11"/>
        <v>2271.1560053880116</v>
      </c>
      <c r="E203" s="282">
        <f t="shared" si="12"/>
        <v>1217.7295254307621</v>
      </c>
      <c r="F203" s="282">
        <f t="shared" si="13"/>
        <v>1053.4264799572495</v>
      </c>
      <c r="G203" s="282">
        <f t="shared" si="14"/>
        <v>264633.01543220907</v>
      </c>
    </row>
    <row r="204" spans="1:7" x14ac:dyDescent="0.3">
      <c r="A204" s="142">
        <v>194</v>
      </c>
      <c r="B204" s="252">
        <v>47634</v>
      </c>
      <c r="C204" s="282">
        <f t="shared" si="10"/>
        <v>264633.01543220907</v>
      </c>
      <c r="D204" s="282">
        <f t="shared" si="11"/>
        <v>2271.1560053880116</v>
      </c>
      <c r="E204" s="282">
        <f t="shared" si="12"/>
        <v>1212.9013207309583</v>
      </c>
      <c r="F204" s="282">
        <f t="shared" si="13"/>
        <v>1058.2546846570533</v>
      </c>
      <c r="G204" s="282">
        <f t="shared" si="14"/>
        <v>263574.76074755203</v>
      </c>
    </row>
    <row r="205" spans="1:7" x14ac:dyDescent="0.3">
      <c r="A205" s="142">
        <v>195</v>
      </c>
      <c r="B205" s="252">
        <v>47664</v>
      </c>
      <c r="C205" s="282">
        <f t="shared" ref="C205:C268" si="15">G204</f>
        <v>263574.76074755203</v>
      </c>
      <c r="D205" s="282">
        <f t="shared" ref="D205:D268" si="16">$B$7</f>
        <v>2271.1560053880116</v>
      </c>
      <c r="E205" s="282">
        <f t="shared" ref="E205:E268" si="17">C205*$B$4/12</f>
        <v>1208.0509867596136</v>
      </c>
      <c r="F205" s="282">
        <f t="shared" ref="F205:F268" si="18">D205-E205</f>
        <v>1063.1050186283981</v>
      </c>
      <c r="G205" s="282">
        <f t="shared" ref="G205:G268" si="19">C205-F205</f>
        <v>262511.65572892362</v>
      </c>
    </row>
    <row r="206" spans="1:7" x14ac:dyDescent="0.3">
      <c r="A206" s="142">
        <v>196</v>
      </c>
      <c r="B206" s="252">
        <v>47695</v>
      </c>
      <c r="C206" s="282">
        <f t="shared" si="15"/>
        <v>262511.65572892362</v>
      </c>
      <c r="D206" s="282">
        <f t="shared" si="16"/>
        <v>2271.1560053880116</v>
      </c>
      <c r="E206" s="282">
        <f t="shared" si="17"/>
        <v>1203.1784220909001</v>
      </c>
      <c r="F206" s="282">
        <f t="shared" si="18"/>
        <v>1067.9775832971116</v>
      </c>
      <c r="G206" s="282">
        <f t="shared" si="19"/>
        <v>261443.6781456265</v>
      </c>
    </row>
    <row r="207" spans="1:7" x14ac:dyDescent="0.3">
      <c r="A207" s="142">
        <v>197</v>
      </c>
      <c r="B207" s="252">
        <v>47726</v>
      </c>
      <c r="C207" s="282">
        <f t="shared" si="15"/>
        <v>261443.6781456265</v>
      </c>
      <c r="D207" s="282">
        <f t="shared" si="16"/>
        <v>2271.1560053880116</v>
      </c>
      <c r="E207" s="282">
        <f t="shared" si="17"/>
        <v>1198.2835248341214</v>
      </c>
      <c r="F207" s="282">
        <f t="shared" si="18"/>
        <v>1072.8724805538902</v>
      </c>
      <c r="G207" s="282">
        <f t="shared" si="19"/>
        <v>260370.80566507261</v>
      </c>
    </row>
    <row r="208" spans="1:7" x14ac:dyDescent="0.3">
      <c r="A208" s="142">
        <v>198</v>
      </c>
      <c r="B208" s="252">
        <v>47756</v>
      </c>
      <c r="C208" s="282">
        <f t="shared" si="15"/>
        <v>260370.80566507261</v>
      </c>
      <c r="D208" s="282">
        <f t="shared" si="16"/>
        <v>2271.1560053880116</v>
      </c>
      <c r="E208" s="282">
        <f t="shared" si="17"/>
        <v>1193.3661926315829</v>
      </c>
      <c r="F208" s="282">
        <f t="shared" si="18"/>
        <v>1077.7898127564288</v>
      </c>
      <c r="G208" s="282">
        <f t="shared" si="19"/>
        <v>259293.01585231617</v>
      </c>
    </row>
    <row r="209" spans="1:7" x14ac:dyDescent="0.3">
      <c r="A209" s="142">
        <v>199</v>
      </c>
      <c r="B209" s="252">
        <v>47787</v>
      </c>
      <c r="C209" s="282">
        <f t="shared" si="15"/>
        <v>259293.01585231617</v>
      </c>
      <c r="D209" s="282">
        <f t="shared" si="16"/>
        <v>2271.1560053880116</v>
      </c>
      <c r="E209" s="282">
        <f t="shared" si="17"/>
        <v>1188.4263226564492</v>
      </c>
      <c r="F209" s="282">
        <f t="shared" si="18"/>
        <v>1082.7296827315624</v>
      </c>
      <c r="G209" s="282">
        <f t="shared" si="19"/>
        <v>258210.28616958461</v>
      </c>
    </row>
    <row r="210" spans="1:7" x14ac:dyDescent="0.3">
      <c r="A210" s="142">
        <v>200</v>
      </c>
      <c r="B210" s="252">
        <v>47817</v>
      </c>
      <c r="C210" s="282">
        <f t="shared" si="15"/>
        <v>258210.28616958461</v>
      </c>
      <c r="D210" s="282">
        <f t="shared" si="16"/>
        <v>2271.1560053880116</v>
      </c>
      <c r="E210" s="282">
        <f t="shared" si="17"/>
        <v>1183.4638116105962</v>
      </c>
      <c r="F210" s="282">
        <f t="shared" si="18"/>
        <v>1087.6921937774155</v>
      </c>
      <c r="G210" s="282">
        <f t="shared" si="19"/>
        <v>257122.59397580719</v>
      </c>
    </row>
    <row r="211" spans="1:7" x14ac:dyDescent="0.3">
      <c r="A211" s="142">
        <v>201</v>
      </c>
      <c r="B211" s="252">
        <v>47848</v>
      </c>
      <c r="C211" s="282">
        <f t="shared" si="15"/>
        <v>257122.59397580719</v>
      </c>
      <c r="D211" s="282">
        <f t="shared" si="16"/>
        <v>2271.1560053880116</v>
      </c>
      <c r="E211" s="282">
        <f t="shared" si="17"/>
        <v>1178.4785557224498</v>
      </c>
      <c r="F211" s="282">
        <f t="shared" si="18"/>
        <v>1092.6774496655619</v>
      </c>
      <c r="G211" s="282">
        <f t="shared" si="19"/>
        <v>256029.91652614163</v>
      </c>
    </row>
    <row r="212" spans="1:7" x14ac:dyDescent="0.3">
      <c r="A212" s="142">
        <v>202</v>
      </c>
      <c r="B212" s="252">
        <v>47879</v>
      </c>
      <c r="C212" s="282">
        <f t="shared" si="15"/>
        <v>256029.91652614163</v>
      </c>
      <c r="D212" s="282">
        <f t="shared" si="16"/>
        <v>2271.1560053880116</v>
      </c>
      <c r="E212" s="282">
        <f t="shared" si="17"/>
        <v>1173.4704507448157</v>
      </c>
      <c r="F212" s="282">
        <f t="shared" si="18"/>
        <v>1097.6855546431959</v>
      </c>
      <c r="G212" s="282">
        <f t="shared" si="19"/>
        <v>254932.23097149844</v>
      </c>
    </row>
    <row r="213" spans="1:7" x14ac:dyDescent="0.3">
      <c r="A213" s="142">
        <v>203</v>
      </c>
      <c r="B213" s="252">
        <v>47907</v>
      </c>
      <c r="C213" s="282">
        <f t="shared" si="15"/>
        <v>254932.23097149844</v>
      </c>
      <c r="D213" s="282">
        <f t="shared" si="16"/>
        <v>2271.1560053880116</v>
      </c>
      <c r="E213" s="282">
        <f t="shared" si="17"/>
        <v>1168.4393919527013</v>
      </c>
      <c r="F213" s="282">
        <f t="shared" si="18"/>
        <v>1102.7166134353104</v>
      </c>
      <c r="G213" s="282">
        <f t="shared" si="19"/>
        <v>253829.51435806314</v>
      </c>
    </row>
    <row r="214" spans="1:7" x14ac:dyDescent="0.3">
      <c r="A214" s="142">
        <v>204</v>
      </c>
      <c r="B214" s="252">
        <v>47938</v>
      </c>
      <c r="C214" s="282">
        <f t="shared" si="15"/>
        <v>253829.51435806314</v>
      </c>
      <c r="D214" s="282">
        <f t="shared" si="16"/>
        <v>2271.1560053880116</v>
      </c>
      <c r="E214" s="282">
        <f t="shared" si="17"/>
        <v>1163.3852741411226</v>
      </c>
      <c r="F214" s="282">
        <f t="shared" si="18"/>
        <v>1107.770731246889</v>
      </c>
      <c r="G214" s="282">
        <f t="shared" si="19"/>
        <v>252721.74362681626</v>
      </c>
    </row>
    <row r="215" spans="1:7" x14ac:dyDescent="0.3">
      <c r="A215" s="142">
        <v>205</v>
      </c>
      <c r="B215" s="252">
        <v>47968</v>
      </c>
      <c r="C215" s="282">
        <f t="shared" si="15"/>
        <v>252721.74362681626</v>
      </c>
      <c r="D215" s="282">
        <f t="shared" si="16"/>
        <v>2271.1560053880116</v>
      </c>
      <c r="E215" s="282">
        <f t="shared" si="17"/>
        <v>1158.3079916229078</v>
      </c>
      <c r="F215" s="282">
        <f t="shared" si="18"/>
        <v>1112.8480137651038</v>
      </c>
      <c r="G215" s="282">
        <f t="shared" si="19"/>
        <v>251608.89561305117</v>
      </c>
    </row>
    <row r="216" spans="1:7" x14ac:dyDescent="0.3">
      <c r="A216" s="142">
        <v>206</v>
      </c>
      <c r="B216" s="252">
        <v>47999</v>
      </c>
      <c r="C216" s="282">
        <f t="shared" si="15"/>
        <v>251608.89561305117</v>
      </c>
      <c r="D216" s="282">
        <f t="shared" si="16"/>
        <v>2271.1560053880116</v>
      </c>
      <c r="E216" s="282">
        <f t="shared" si="17"/>
        <v>1153.2074382264846</v>
      </c>
      <c r="F216" s="282">
        <f t="shared" si="18"/>
        <v>1117.9485671615271</v>
      </c>
      <c r="G216" s="282">
        <f t="shared" si="19"/>
        <v>250490.94704588962</v>
      </c>
    </row>
    <row r="217" spans="1:7" x14ac:dyDescent="0.3">
      <c r="A217" s="142">
        <v>207</v>
      </c>
      <c r="B217" s="252">
        <v>48029</v>
      </c>
      <c r="C217" s="282">
        <f t="shared" si="15"/>
        <v>250490.94704588962</v>
      </c>
      <c r="D217" s="282">
        <f t="shared" si="16"/>
        <v>2271.1560053880116</v>
      </c>
      <c r="E217" s="282">
        <f t="shared" si="17"/>
        <v>1148.0835072936609</v>
      </c>
      <c r="F217" s="282">
        <f t="shared" si="18"/>
        <v>1123.0724980943507</v>
      </c>
      <c r="G217" s="282">
        <f t="shared" si="19"/>
        <v>249367.87454779528</v>
      </c>
    </row>
    <row r="218" spans="1:7" x14ac:dyDescent="0.3">
      <c r="A218" s="142">
        <v>208</v>
      </c>
      <c r="B218" s="252">
        <v>48060</v>
      </c>
      <c r="C218" s="282">
        <f t="shared" si="15"/>
        <v>249367.87454779528</v>
      </c>
      <c r="D218" s="282">
        <f t="shared" si="16"/>
        <v>2271.1560053880116</v>
      </c>
      <c r="E218" s="282">
        <f t="shared" si="17"/>
        <v>1142.9360916773951</v>
      </c>
      <c r="F218" s="282">
        <f t="shared" si="18"/>
        <v>1128.2199137106165</v>
      </c>
      <c r="G218" s="282">
        <f t="shared" si="19"/>
        <v>248239.65463408467</v>
      </c>
    </row>
    <row r="219" spans="1:7" x14ac:dyDescent="0.3">
      <c r="A219" s="142">
        <v>209</v>
      </c>
      <c r="B219" s="252">
        <v>48091</v>
      </c>
      <c r="C219" s="282">
        <f t="shared" si="15"/>
        <v>248239.65463408467</v>
      </c>
      <c r="D219" s="282">
        <f t="shared" si="16"/>
        <v>2271.1560053880116</v>
      </c>
      <c r="E219" s="282">
        <f t="shared" si="17"/>
        <v>1137.7650837395547</v>
      </c>
      <c r="F219" s="282">
        <f t="shared" si="18"/>
        <v>1133.3909216484569</v>
      </c>
      <c r="G219" s="282">
        <f t="shared" si="19"/>
        <v>247106.26371243622</v>
      </c>
    </row>
    <row r="220" spans="1:7" x14ac:dyDescent="0.3">
      <c r="A220" s="142">
        <v>210</v>
      </c>
      <c r="B220" s="252">
        <v>48121</v>
      </c>
      <c r="C220" s="282">
        <f t="shared" si="15"/>
        <v>247106.26371243622</v>
      </c>
      <c r="D220" s="282">
        <f t="shared" si="16"/>
        <v>2271.1560053880116</v>
      </c>
      <c r="E220" s="282">
        <f t="shared" si="17"/>
        <v>1132.5703753486662</v>
      </c>
      <c r="F220" s="282">
        <f t="shared" si="18"/>
        <v>1138.5856300393455</v>
      </c>
      <c r="G220" s="282">
        <f t="shared" si="19"/>
        <v>245967.67808239689</v>
      </c>
    </row>
    <row r="221" spans="1:7" x14ac:dyDescent="0.3">
      <c r="A221" s="142">
        <v>211</v>
      </c>
      <c r="B221" s="252">
        <v>48152</v>
      </c>
      <c r="C221" s="282">
        <f t="shared" si="15"/>
        <v>245967.67808239689</v>
      </c>
      <c r="D221" s="282">
        <f t="shared" si="16"/>
        <v>2271.1560053880116</v>
      </c>
      <c r="E221" s="282">
        <f t="shared" si="17"/>
        <v>1127.3518578776523</v>
      </c>
      <c r="F221" s="282">
        <f t="shared" si="18"/>
        <v>1143.8041475103594</v>
      </c>
      <c r="G221" s="282">
        <f t="shared" si="19"/>
        <v>244823.87393488653</v>
      </c>
    </row>
    <row r="222" spans="1:7" x14ac:dyDescent="0.3">
      <c r="A222" s="142">
        <v>212</v>
      </c>
      <c r="B222" s="252">
        <v>48182</v>
      </c>
      <c r="C222" s="282">
        <f t="shared" si="15"/>
        <v>244823.87393488653</v>
      </c>
      <c r="D222" s="282">
        <f t="shared" si="16"/>
        <v>2271.1560053880116</v>
      </c>
      <c r="E222" s="282">
        <f t="shared" si="17"/>
        <v>1122.1094222015633</v>
      </c>
      <c r="F222" s="282">
        <f t="shared" si="18"/>
        <v>1149.0465831864483</v>
      </c>
      <c r="G222" s="282">
        <f t="shared" si="19"/>
        <v>243674.82735170008</v>
      </c>
    </row>
    <row r="223" spans="1:7" x14ac:dyDescent="0.3">
      <c r="A223" s="142">
        <v>213</v>
      </c>
      <c r="B223" s="252">
        <v>48213</v>
      </c>
      <c r="C223" s="282">
        <f t="shared" si="15"/>
        <v>243674.82735170008</v>
      </c>
      <c r="D223" s="282">
        <f t="shared" si="16"/>
        <v>2271.1560053880116</v>
      </c>
      <c r="E223" s="282">
        <f t="shared" si="17"/>
        <v>1116.8429586952921</v>
      </c>
      <c r="F223" s="282">
        <f t="shared" si="18"/>
        <v>1154.3130466927196</v>
      </c>
      <c r="G223" s="282">
        <f t="shared" si="19"/>
        <v>242520.51430500735</v>
      </c>
    </row>
    <row r="224" spans="1:7" x14ac:dyDescent="0.3">
      <c r="A224" s="142">
        <v>214</v>
      </c>
      <c r="B224" s="252">
        <v>48244</v>
      </c>
      <c r="C224" s="282">
        <f t="shared" si="15"/>
        <v>242520.51430500735</v>
      </c>
      <c r="D224" s="282">
        <f t="shared" si="16"/>
        <v>2271.1560053880116</v>
      </c>
      <c r="E224" s="282">
        <f t="shared" si="17"/>
        <v>1111.5523572312838</v>
      </c>
      <c r="F224" s="282">
        <f t="shared" si="18"/>
        <v>1159.6036481567278</v>
      </c>
      <c r="G224" s="282">
        <f t="shared" si="19"/>
        <v>241360.91065685064</v>
      </c>
    </row>
    <row r="225" spans="1:7" x14ac:dyDescent="0.3">
      <c r="A225" s="142">
        <v>215</v>
      </c>
      <c r="B225" s="252">
        <v>48273</v>
      </c>
      <c r="C225" s="282">
        <f t="shared" si="15"/>
        <v>241360.91065685064</v>
      </c>
      <c r="D225" s="282">
        <f t="shared" si="16"/>
        <v>2271.1560053880116</v>
      </c>
      <c r="E225" s="282">
        <f t="shared" si="17"/>
        <v>1106.2375071772321</v>
      </c>
      <c r="F225" s="282">
        <f t="shared" si="18"/>
        <v>1164.9184982107795</v>
      </c>
      <c r="G225" s="282">
        <f t="shared" si="19"/>
        <v>240195.99215863986</v>
      </c>
    </row>
    <row r="226" spans="1:7" x14ac:dyDescent="0.3">
      <c r="A226" s="142">
        <v>216</v>
      </c>
      <c r="B226" s="252">
        <v>48304</v>
      </c>
      <c r="C226" s="282">
        <f t="shared" si="15"/>
        <v>240195.99215863986</v>
      </c>
      <c r="D226" s="282">
        <f t="shared" si="16"/>
        <v>2271.1560053880116</v>
      </c>
      <c r="E226" s="282">
        <f t="shared" si="17"/>
        <v>1100.8982973937661</v>
      </c>
      <c r="F226" s="282">
        <f t="shared" si="18"/>
        <v>1170.2577079942455</v>
      </c>
      <c r="G226" s="282">
        <f t="shared" si="19"/>
        <v>239025.7344506456</v>
      </c>
    </row>
    <row r="227" spans="1:7" x14ac:dyDescent="0.3">
      <c r="A227" s="142">
        <v>217</v>
      </c>
      <c r="B227" s="252">
        <v>48334</v>
      </c>
      <c r="C227" s="282">
        <f t="shared" si="15"/>
        <v>239025.7344506456</v>
      </c>
      <c r="D227" s="282">
        <f t="shared" si="16"/>
        <v>2271.1560053880116</v>
      </c>
      <c r="E227" s="282">
        <f t="shared" si="17"/>
        <v>1095.5346162321257</v>
      </c>
      <c r="F227" s="282">
        <f t="shared" si="18"/>
        <v>1175.6213891558859</v>
      </c>
      <c r="G227" s="282">
        <f t="shared" si="19"/>
        <v>237850.11306148971</v>
      </c>
    </row>
    <row r="228" spans="1:7" x14ac:dyDescent="0.3">
      <c r="A228" s="142">
        <v>218</v>
      </c>
      <c r="B228" s="252">
        <v>48365</v>
      </c>
      <c r="C228" s="282">
        <f t="shared" si="15"/>
        <v>237850.11306148971</v>
      </c>
      <c r="D228" s="282">
        <f t="shared" si="16"/>
        <v>2271.1560053880116</v>
      </c>
      <c r="E228" s="282">
        <f t="shared" si="17"/>
        <v>1090.1463515318278</v>
      </c>
      <c r="F228" s="282">
        <f t="shared" si="18"/>
        <v>1181.0096538561838</v>
      </c>
      <c r="G228" s="282">
        <f t="shared" si="19"/>
        <v>236669.10340763352</v>
      </c>
    </row>
    <row r="229" spans="1:7" x14ac:dyDescent="0.3">
      <c r="A229" s="142">
        <v>219</v>
      </c>
      <c r="B229" s="252">
        <v>48395</v>
      </c>
      <c r="C229" s="282">
        <f t="shared" si="15"/>
        <v>236669.10340763352</v>
      </c>
      <c r="D229" s="282">
        <f t="shared" si="16"/>
        <v>2271.1560053880116</v>
      </c>
      <c r="E229" s="282">
        <f t="shared" si="17"/>
        <v>1084.7333906183203</v>
      </c>
      <c r="F229" s="282">
        <f t="shared" si="18"/>
        <v>1186.4226147696913</v>
      </c>
      <c r="G229" s="282">
        <f t="shared" si="19"/>
        <v>235482.68079286383</v>
      </c>
    </row>
    <row r="230" spans="1:7" x14ac:dyDescent="0.3">
      <c r="A230" s="142">
        <v>220</v>
      </c>
      <c r="B230" s="252">
        <v>48426</v>
      </c>
      <c r="C230" s="282">
        <f t="shared" si="15"/>
        <v>235482.68079286383</v>
      </c>
      <c r="D230" s="282">
        <f t="shared" si="16"/>
        <v>2271.1560053880116</v>
      </c>
      <c r="E230" s="282">
        <f t="shared" si="17"/>
        <v>1079.2956203006258</v>
      </c>
      <c r="F230" s="282">
        <f t="shared" si="18"/>
        <v>1191.8603850873858</v>
      </c>
      <c r="G230" s="282">
        <f t="shared" si="19"/>
        <v>234290.82040777645</v>
      </c>
    </row>
    <row r="231" spans="1:7" x14ac:dyDescent="0.3">
      <c r="A231" s="142">
        <v>221</v>
      </c>
      <c r="B231" s="252">
        <v>48457</v>
      </c>
      <c r="C231" s="282">
        <f t="shared" si="15"/>
        <v>234290.82040777645</v>
      </c>
      <c r="D231" s="282">
        <f t="shared" si="16"/>
        <v>2271.1560053880116</v>
      </c>
      <c r="E231" s="282">
        <f t="shared" si="17"/>
        <v>1073.8329268689754</v>
      </c>
      <c r="F231" s="282">
        <f t="shared" si="18"/>
        <v>1197.3230785190362</v>
      </c>
      <c r="G231" s="282">
        <f t="shared" si="19"/>
        <v>233093.49732925743</v>
      </c>
    </row>
    <row r="232" spans="1:7" x14ac:dyDescent="0.3">
      <c r="A232" s="142">
        <v>222</v>
      </c>
      <c r="B232" s="252">
        <v>48487</v>
      </c>
      <c r="C232" s="282">
        <f t="shared" si="15"/>
        <v>233093.49732925743</v>
      </c>
      <c r="D232" s="282">
        <f t="shared" si="16"/>
        <v>2271.1560053880116</v>
      </c>
      <c r="E232" s="282">
        <f t="shared" si="17"/>
        <v>1068.3451960924299</v>
      </c>
      <c r="F232" s="282">
        <f t="shared" si="18"/>
        <v>1202.8108092955817</v>
      </c>
      <c r="G232" s="282">
        <f t="shared" si="19"/>
        <v>231890.68651996183</v>
      </c>
    </row>
    <row r="233" spans="1:7" x14ac:dyDescent="0.3">
      <c r="A233" s="142">
        <v>223</v>
      </c>
      <c r="B233" s="252">
        <v>48518</v>
      </c>
      <c r="C233" s="282">
        <f t="shared" si="15"/>
        <v>231890.68651996183</v>
      </c>
      <c r="D233" s="282">
        <f t="shared" si="16"/>
        <v>2271.1560053880116</v>
      </c>
      <c r="E233" s="282">
        <f t="shared" si="17"/>
        <v>1062.8323132164917</v>
      </c>
      <c r="F233" s="282">
        <f t="shared" si="18"/>
        <v>1208.32369217152</v>
      </c>
      <c r="G233" s="282">
        <f t="shared" si="19"/>
        <v>230682.36282779032</v>
      </c>
    </row>
    <row r="234" spans="1:7" x14ac:dyDescent="0.3">
      <c r="A234" s="142">
        <v>224</v>
      </c>
      <c r="B234" s="252">
        <v>48548</v>
      </c>
      <c r="C234" s="282">
        <f t="shared" si="15"/>
        <v>230682.36282779032</v>
      </c>
      <c r="D234" s="282">
        <f t="shared" si="16"/>
        <v>2271.1560053880116</v>
      </c>
      <c r="E234" s="282">
        <f t="shared" si="17"/>
        <v>1057.2941629607055</v>
      </c>
      <c r="F234" s="282">
        <f t="shared" si="18"/>
        <v>1213.8618424273061</v>
      </c>
      <c r="G234" s="282">
        <f t="shared" si="19"/>
        <v>229468.500985363</v>
      </c>
    </row>
    <row r="235" spans="1:7" x14ac:dyDescent="0.3">
      <c r="A235" s="142">
        <v>225</v>
      </c>
      <c r="B235" s="252">
        <v>48579</v>
      </c>
      <c r="C235" s="282">
        <f t="shared" si="15"/>
        <v>229468.500985363</v>
      </c>
      <c r="D235" s="282">
        <f t="shared" si="16"/>
        <v>2271.1560053880116</v>
      </c>
      <c r="E235" s="282">
        <f t="shared" si="17"/>
        <v>1051.7306295162471</v>
      </c>
      <c r="F235" s="282">
        <f t="shared" si="18"/>
        <v>1219.4253758717646</v>
      </c>
      <c r="G235" s="282">
        <f t="shared" si="19"/>
        <v>228249.07560949124</v>
      </c>
    </row>
    <row r="236" spans="1:7" x14ac:dyDescent="0.3">
      <c r="A236" s="142">
        <v>226</v>
      </c>
      <c r="B236" s="252">
        <v>48610</v>
      </c>
      <c r="C236" s="282">
        <f t="shared" si="15"/>
        <v>228249.07560949124</v>
      </c>
      <c r="D236" s="282">
        <f t="shared" si="16"/>
        <v>2271.1560053880116</v>
      </c>
      <c r="E236" s="282">
        <f t="shared" si="17"/>
        <v>1046.1415965435015</v>
      </c>
      <c r="F236" s="282">
        <f t="shared" si="18"/>
        <v>1225.0144088445102</v>
      </c>
      <c r="G236" s="282">
        <f t="shared" si="19"/>
        <v>227024.06120064671</v>
      </c>
    </row>
    <row r="237" spans="1:7" x14ac:dyDescent="0.3">
      <c r="A237" s="142">
        <v>227</v>
      </c>
      <c r="B237" s="252">
        <v>48638</v>
      </c>
      <c r="C237" s="282">
        <f t="shared" si="15"/>
        <v>227024.06120064671</v>
      </c>
      <c r="D237" s="282">
        <f t="shared" si="16"/>
        <v>2271.1560053880116</v>
      </c>
      <c r="E237" s="282">
        <f t="shared" si="17"/>
        <v>1040.5269471696308</v>
      </c>
      <c r="F237" s="282">
        <f t="shared" si="18"/>
        <v>1230.6290582183808</v>
      </c>
      <c r="G237" s="282">
        <f t="shared" si="19"/>
        <v>225793.43214242833</v>
      </c>
    </row>
    <row r="238" spans="1:7" x14ac:dyDescent="0.3">
      <c r="A238" s="142">
        <v>228</v>
      </c>
      <c r="B238" s="252">
        <v>48669</v>
      </c>
      <c r="C238" s="282">
        <f t="shared" si="15"/>
        <v>225793.43214242833</v>
      </c>
      <c r="D238" s="282">
        <f t="shared" si="16"/>
        <v>2271.1560053880116</v>
      </c>
      <c r="E238" s="282">
        <f t="shared" si="17"/>
        <v>1034.8865639861299</v>
      </c>
      <c r="F238" s="282">
        <f t="shared" si="18"/>
        <v>1236.2694414018817</v>
      </c>
      <c r="G238" s="282">
        <f t="shared" si="19"/>
        <v>224557.16270102645</v>
      </c>
    </row>
    <row r="239" spans="1:7" x14ac:dyDescent="0.3">
      <c r="A239" s="142">
        <v>229</v>
      </c>
      <c r="B239" s="252">
        <v>48699</v>
      </c>
      <c r="C239" s="282">
        <f t="shared" si="15"/>
        <v>224557.16270102645</v>
      </c>
      <c r="D239" s="282">
        <f t="shared" si="16"/>
        <v>2271.1560053880116</v>
      </c>
      <c r="E239" s="282">
        <f t="shared" si="17"/>
        <v>1029.2203290463713</v>
      </c>
      <c r="F239" s="282">
        <f t="shared" si="18"/>
        <v>1241.9356763416404</v>
      </c>
      <c r="G239" s="282">
        <f t="shared" si="19"/>
        <v>223315.22702468481</v>
      </c>
    </row>
    <row r="240" spans="1:7" x14ac:dyDescent="0.3">
      <c r="A240" s="142">
        <v>230</v>
      </c>
      <c r="B240" s="252">
        <v>48730</v>
      </c>
      <c r="C240" s="282">
        <f t="shared" si="15"/>
        <v>223315.22702468481</v>
      </c>
      <c r="D240" s="282">
        <f t="shared" si="16"/>
        <v>2271.1560053880116</v>
      </c>
      <c r="E240" s="282">
        <f t="shared" si="17"/>
        <v>1023.5281238631387</v>
      </c>
      <c r="F240" s="282">
        <f t="shared" si="18"/>
        <v>1247.6278815248729</v>
      </c>
      <c r="G240" s="282">
        <f t="shared" si="19"/>
        <v>222067.59914315993</v>
      </c>
    </row>
    <row r="241" spans="1:7" x14ac:dyDescent="0.3">
      <c r="A241" s="142">
        <v>231</v>
      </c>
      <c r="B241" s="252">
        <v>48760</v>
      </c>
      <c r="C241" s="282">
        <f t="shared" si="15"/>
        <v>222067.59914315993</v>
      </c>
      <c r="D241" s="282">
        <f t="shared" si="16"/>
        <v>2271.1560053880116</v>
      </c>
      <c r="E241" s="282">
        <f t="shared" si="17"/>
        <v>1017.8098294061497</v>
      </c>
      <c r="F241" s="282">
        <f t="shared" si="18"/>
        <v>1253.346175981862</v>
      </c>
      <c r="G241" s="282">
        <f t="shared" si="19"/>
        <v>220814.25296717806</v>
      </c>
    </row>
    <row r="242" spans="1:7" x14ac:dyDescent="0.3">
      <c r="A242" s="142">
        <v>232</v>
      </c>
      <c r="B242" s="252">
        <v>48791</v>
      </c>
      <c r="C242" s="282">
        <f t="shared" si="15"/>
        <v>220814.25296717806</v>
      </c>
      <c r="D242" s="282">
        <f t="shared" si="16"/>
        <v>2271.1560053880116</v>
      </c>
      <c r="E242" s="282">
        <f t="shared" si="17"/>
        <v>1012.0653260995661</v>
      </c>
      <c r="F242" s="282">
        <f t="shared" si="18"/>
        <v>1259.0906792884457</v>
      </c>
      <c r="G242" s="282">
        <f t="shared" si="19"/>
        <v>219555.16228788963</v>
      </c>
    </row>
    <row r="243" spans="1:7" x14ac:dyDescent="0.3">
      <c r="A243" s="142">
        <v>233</v>
      </c>
      <c r="B243" s="252">
        <v>48822</v>
      </c>
      <c r="C243" s="282">
        <f t="shared" si="15"/>
        <v>219555.16228788963</v>
      </c>
      <c r="D243" s="282">
        <f t="shared" si="16"/>
        <v>2271.1560053880116</v>
      </c>
      <c r="E243" s="282">
        <f t="shared" si="17"/>
        <v>1006.2944938194942</v>
      </c>
      <c r="F243" s="282">
        <f t="shared" si="18"/>
        <v>1264.8615115685175</v>
      </c>
      <c r="G243" s="282">
        <f t="shared" si="19"/>
        <v>218290.30077632112</v>
      </c>
    </row>
    <row r="244" spans="1:7" x14ac:dyDescent="0.3">
      <c r="A244" s="142">
        <v>234</v>
      </c>
      <c r="B244" s="252">
        <v>48852</v>
      </c>
      <c r="C244" s="282">
        <f t="shared" si="15"/>
        <v>218290.30077632112</v>
      </c>
      <c r="D244" s="282">
        <f t="shared" si="16"/>
        <v>2271.1560053880116</v>
      </c>
      <c r="E244" s="282">
        <f t="shared" si="17"/>
        <v>1000.4972118914719</v>
      </c>
      <c r="F244" s="282">
        <f t="shared" si="18"/>
        <v>1270.6587934965396</v>
      </c>
      <c r="G244" s="282">
        <f t="shared" si="19"/>
        <v>217019.64198282457</v>
      </c>
    </row>
    <row r="245" spans="1:7" x14ac:dyDescent="0.3">
      <c r="A245" s="142">
        <v>235</v>
      </c>
      <c r="B245" s="252">
        <v>48883</v>
      </c>
      <c r="C245" s="282">
        <f t="shared" si="15"/>
        <v>217019.64198282457</v>
      </c>
      <c r="D245" s="282">
        <f t="shared" si="16"/>
        <v>2271.1560053880116</v>
      </c>
      <c r="E245" s="282">
        <f t="shared" si="17"/>
        <v>994.67335908794587</v>
      </c>
      <c r="F245" s="282">
        <f t="shared" si="18"/>
        <v>1276.4826463000659</v>
      </c>
      <c r="G245" s="282">
        <f t="shared" si="19"/>
        <v>215743.15933652449</v>
      </c>
    </row>
    <row r="246" spans="1:7" x14ac:dyDescent="0.3">
      <c r="A246" s="142">
        <v>236</v>
      </c>
      <c r="B246" s="252">
        <v>48913</v>
      </c>
      <c r="C246" s="282">
        <f t="shared" si="15"/>
        <v>215743.15933652449</v>
      </c>
      <c r="D246" s="282">
        <f t="shared" si="16"/>
        <v>2271.1560053880116</v>
      </c>
      <c r="E246" s="282">
        <f t="shared" si="17"/>
        <v>988.82281362573724</v>
      </c>
      <c r="F246" s="282">
        <f t="shared" si="18"/>
        <v>1282.3331917622745</v>
      </c>
      <c r="G246" s="282">
        <f t="shared" si="19"/>
        <v>214460.82614476222</v>
      </c>
    </row>
    <row r="247" spans="1:7" x14ac:dyDescent="0.3">
      <c r="A247" s="142">
        <v>237</v>
      </c>
      <c r="B247" s="252">
        <v>48944</v>
      </c>
      <c r="C247" s="282">
        <f t="shared" si="15"/>
        <v>214460.82614476222</v>
      </c>
      <c r="D247" s="282">
        <f t="shared" si="16"/>
        <v>2271.1560053880116</v>
      </c>
      <c r="E247" s="282">
        <f t="shared" si="17"/>
        <v>982.94545316349343</v>
      </c>
      <c r="F247" s="282">
        <f t="shared" si="18"/>
        <v>1288.2105522245183</v>
      </c>
      <c r="G247" s="282">
        <f t="shared" si="19"/>
        <v>213172.61559253771</v>
      </c>
    </row>
    <row r="248" spans="1:7" x14ac:dyDescent="0.3">
      <c r="A248" s="142">
        <v>238</v>
      </c>
      <c r="B248" s="252">
        <v>48975</v>
      </c>
      <c r="C248" s="282">
        <f t="shared" si="15"/>
        <v>213172.61559253771</v>
      </c>
      <c r="D248" s="282">
        <f t="shared" si="16"/>
        <v>2271.1560053880116</v>
      </c>
      <c r="E248" s="282">
        <f t="shared" si="17"/>
        <v>977.04115479913116</v>
      </c>
      <c r="F248" s="282">
        <f t="shared" si="18"/>
        <v>1294.1148505888805</v>
      </c>
      <c r="G248" s="282">
        <f t="shared" si="19"/>
        <v>211878.50074194884</v>
      </c>
    </row>
    <row r="249" spans="1:7" x14ac:dyDescent="0.3">
      <c r="A249" s="142">
        <v>239</v>
      </c>
      <c r="B249" s="252">
        <v>49003</v>
      </c>
      <c r="C249" s="282">
        <f t="shared" si="15"/>
        <v>211878.50074194884</v>
      </c>
      <c r="D249" s="282">
        <f t="shared" si="16"/>
        <v>2271.1560053880116</v>
      </c>
      <c r="E249" s="282">
        <f t="shared" si="17"/>
        <v>971.10979506726551</v>
      </c>
      <c r="F249" s="282">
        <f t="shared" si="18"/>
        <v>1300.046210320746</v>
      </c>
      <c r="G249" s="282">
        <f t="shared" si="19"/>
        <v>210578.45453162809</v>
      </c>
    </row>
    <row r="250" spans="1:7" x14ac:dyDescent="0.3">
      <c r="A250" s="142">
        <v>240</v>
      </c>
      <c r="B250" s="252">
        <v>49034</v>
      </c>
      <c r="C250" s="282">
        <f t="shared" si="15"/>
        <v>210578.45453162809</v>
      </c>
      <c r="D250" s="282">
        <f t="shared" si="16"/>
        <v>2271.1560053880116</v>
      </c>
      <c r="E250" s="282">
        <f t="shared" si="17"/>
        <v>965.15124993662869</v>
      </c>
      <c r="F250" s="282">
        <f t="shared" si="18"/>
        <v>1306.0047554513831</v>
      </c>
      <c r="G250" s="282">
        <f t="shared" si="19"/>
        <v>209272.44977617671</v>
      </c>
    </row>
    <row r="251" spans="1:7" x14ac:dyDescent="0.3">
      <c r="A251" s="142">
        <v>241</v>
      </c>
      <c r="B251" s="252">
        <v>49064</v>
      </c>
      <c r="C251" s="282">
        <f t="shared" si="15"/>
        <v>209272.44977617671</v>
      </c>
      <c r="D251" s="282">
        <f t="shared" si="16"/>
        <v>2271.1560053880116</v>
      </c>
      <c r="E251" s="282">
        <f t="shared" si="17"/>
        <v>959.16539480747667</v>
      </c>
      <c r="F251" s="282">
        <f t="shared" si="18"/>
        <v>1311.9906105805348</v>
      </c>
      <c r="G251" s="282">
        <f t="shared" si="19"/>
        <v>207960.45916559617</v>
      </c>
    </row>
    <row r="252" spans="1:7" x14ac:dyDescent="0.3">
      <c r="A252" s="142">
        <v>242</v>
      </c>
      <c r="B252" s="252">
        <v>49095</v>
      </c>
      <c r="C252" s="282">
        <f t="shared" si="15"/>
        <v>207960.45916559617</v>
      </c>
      <c r="D252" s="282">
        <f t="shared" si="16"/>
        <v>2271.1560053880116</v>
      </c>
      <c r="E252" s="282">
        <f t="shared" si="17"/>
        <v>953.15210450898246</v>
      </c>
      <c r="F252" s="282">
        <f t="shared" si="18"/>
        <v>1318.0039008790291</v>
      </c>
      <c r="G252" s="282">
        <f t="shared" si="19"/>
        <v>206642.45526471714</v>
      </c>
    </row>
    <row r="253" spans="1:7" x14ac:dyDescent="0.3">
      <c r="A253" s="142">
        <v>243</v>
      </c>
      <c r="B253" s="252">
        <v>49125</v>
      </c>
      <c r="C253" s="282">
        <f t="shared" si="15"/>
        <v>206642.45526471714</v>
      </c>
      <c r="D253" s="282">
        <f t="shared" si="16"/>
        <v>2271.1560053880116</v>
      </c>
      <c r="E253" s="282">
        <f t="shared" si="17"/>
        <v>947.11125329662025</v>
      </c>
      <c r="F253" s="282">
        <f t="shared" si="18"/>
        <v>1324.0447520913913</v>
      </c>
      <c r="G253" s="282">
        <f t="shared" si="19"/>
        <v>205318.41051262573</v>
      </c>
    </row>
    <row r="254" spans="1:7" x14ac:dyDescent="0.3">
      <c r="A254" s="142">
        <v>244</v>
      </c>
      <c r="B254" s="252">
        <v>49156</v>
      </c>
      <c r="C254" s="282">
        <f t="shared" si="15"/>
        <v>205318.41051262573</v>
      </c>
      <c r="D254" s="282">
        <f t="shared" si="16"/>
        <v>2271.1560053880116</v>
      </c>
      <c r="E254" s="282">
        <f t="shared" si="17"/>
        <v>941.0427148495346</v>
      </c>
      <c r="F254" s="282">
        <f t="shared" si="18"/>
        <v>1330.113290538477</v>
      </c>
      <c r="G254" s="282">
        <f t="shared" si="19"/>
        <v>203988.29722208725</v>
      </c>
    </row>
    <row r="255" spans="1:7" x14ac:dyDescent="0.3">
      <c r="A255" s="142">
        <v>245</v>
      </c>
      <c r="B255" s="252">
        <v>49187</v>
      </c>
      <c r="C255" s="282">
        <f t="shared" si="15"/>
        <v>203988.29722208725</v>
      </c>
      <c r="D255" s="282">
        <f t="shared" si="16"/>
        <v>2271.1560053880116</v>
      </c>
      <c r="E255" s="282">
        <f t="shared" si="17"/>
        <v>934.94636226789987</v>
      </c>
      <c r="F255" s="282">
        <f t="shared" si="18"/>
        <v>1336.2096431201117</v>
      </c>
      <c r="G255" s="282">
        <f t="shared" si="19"/>
        <v>202652.08757896713</v>
      </c>
    </row>
    <row r="256" spans="1:7" x14ac:dyDescent="0.3">
      <c r="A256" s="142">
        <v>246</v>
      </c>
      <c r="B256" s="252">
        <v>49217</v>
      </c>
      <c r="C256" s="282">
        <f t="shared" si="15"/>
        <v>202652.08757896713</v>
      </c>
      <c r="D256" s="282">
        <f t="shared" si="16"/>
        <v>2271.1560053880116</v>
      </c>
      <c r="E256" s="282">
        <f t="shared" si="17"/>
        <v>928.82206807026603</v>
      </c>
      <c r="F256" s="282">
        <f t="shared" si="18"/>
        <v>1342.3339373177455</v>
      </c>
      <c r="G256" s="282">
        <f t="shared" si="19"/>
        <v>201309.75364164938</v>
      </c>
    </row>
    <row r="257" spans="1:7" x14ac:dyDescent="0.3">
      <c r="A257" s="142">
        <v>247</v>
      </c>
      <c r="B257" s="252">
        <v>49248</v>
      </c>
      <c r="C257" s="282">
        <f t="shared" si="15"/>
        <v>201309.75364164938</v>
      </c>
      <c r="D257" s="282">
        <f t="shared" si="16"/>
        <v>2271.1560053880116</v>
      </c>
      <c r="E257" s="282">
        <f t="shared" si="17"/>
        <v>922.66970419089296</v>
      </c>
      <c r="F257" s="282">
        <f t="shared" si="18"/>
        <v>1348.4863011971188</v>
      </c>
      <c r="G257" s="282">
        <f t="shared" si="19"/>
        <v>199961.26734045226</v>
      </c>
    </row>
    <row r="258" spans="1:7" x14ac:dyDescent="0.3">
      <c r="A258" s="142">
        <v>248</v>
      </c>
      <c r="B258" s="252">
        <v>49278</v>
      </c>
      <c r="C258" s="282">
        <f t="shared" si="15"/>
        <v>199961.26734045226</v>
      </c>
      <c r="D258" s="282">
        <f t="shared" si="16"/>
        <v>2271.1560053880116</v>
      </c>
      <c r="E258" s="282">
        <f t="shared" si="17"/>
        <v>916.4891419770729</v>
      </c>
      <c r="F258" s="282">
        <f t="shared" si="18"/>
        <v>1354.6668634109387</v>
      </c>
      <c r="G258" s="282">
        <f t="shared" si="19"/>
        <v>198606.60047704133</v>
      </c>
    </row>
    <row r="259" spans="1:7" x14ac:dyDescent="0.3">
      <c r="A259" s="142">
        <v>249</v>
      </c>
      <c r="B259" s="252">
        <v>49309</v>
      </c>
      <c r="C259" s="282">
        <f t="shared" si="15"/>
        <v>198606.60047704133</v>
      </c>
      <c r="D259" s="282">
        <f t="shared" si="16"/>
        <v>2271.1560053880116</v>
      </c>
      <c r="E259" s="282">
        <f t="shared" si="17"/>
        <v>910.2802521864395</v>
      </c>
      <c r="F259" s="282">
        <f t="shared" si="18"/>
        <v>1360.875753201572</v>
      </c>
      <c r="G259" s="282">
        <f t="shared" si="19"/>
        <v>197245.72472383975</v>
      </c>
    </row>
    <row r="260" spans="1:7" x14ac:dyDescent="0.3">
      <c r="A260" s="142">
        <v>250</v>
      </c>
      <c r="B260" s="252">
        <v>49340</v>
      </c>
      <c r="C260" s="282">
        <f t="shared" si="15"/>
        <v>197245.72472383975</v>
      </c>
      <c r="D260" s="282">
        <f t="shared" si="16"/>
        <v>2271.1560053880116</v>
      </c>
      <c r="E260" s="282">
        <f t="shared" si="17"/>
        <v>904.04290498426553</v>
      </c>
      <c r="F260" s="282">
        <f t="shared" si="18"/>
        <v>1367.1131004037461</v>
      </c>
      <c r="G260" s="282">
        <f t="shared" si="19"/>
        <v>195878.61162343601</v>
      </c>
    </row>
    <row r="261" spans="1:7" x14ac:dyDescent="0.3">
      <c r="A261" s="142">
        <v>251</v>
      </c>
      <c r="B261" s="252">
        <v>49368</v>
      </c>
      <c r="C261" s="282">
        <f t="shared" si="15"/>
        <v>195878.61162343601</v>
      </c>
      <c r="D261" s="282">
        <f t="shared" si="16"/>
        <v>2271.1560053880116</v>
      </c>
      <c r="E261" s="282">
        <f t="shared" si="17"/>
        <v>897.77696994074847</v>
      </c>
      <c r="F261" s="282">
        <f t="shared" si="18"/>
        <v>1373.379035447263</v>
      </c>
      <c r="G261" s="282">
        <f t="shared" si="19"/>
        <v>194505.23258798875</v>
      </c>
    </row>
    <row r="262" spans="1:7" x14ac:dyDescent="0.3">
      <c r="A262" s="142">
        <v>252</v>
      </c>
      <c r="B262" s="252">
        <v>49399</v>
      </c>
      <c r="C262" s="282">
        <f t="shared" si="15"/>
        <v>194505.23258798875</v>
      </c>
      <c r="D262" s="282">
        <f t="shared" si="16"/>
        <v>2271.1560053880116</v>
      </c>
      <c r="E262" s="282">
        <f t="shared" si="17"/>
        <v>891.48231602828173</v>
      </c>
      <c r="F262" s="282">
        <f t="shared" si="18"/>
        <v>1379.6736893597299</v>
      </c>
      <c r="G262" s="282">
        <f t="shared" si="19"/>
        <v>193125.55889862901</v>
      </c>
    </row>
    <row r="263" spans="1:7" x14ac:dyDescent="0.3">
      <c r="A263" s="142">
        <v>253</v>
      </c>
      <c r="B263" s="252">
        <v>49429</v>
      </c>
      <c r="C263" s="282">
        <f t="shared" si="15"/>
        <v>193125.55889862901</v>
      </c>
      <c r="D263" s="282">
        <f t="shared" si="16"/>
        <v>2271.1560053880116</v>
      </c>
      <c r="E263" s="282">
        <f t="shared" si="17"/>
        <v>885.1588116187163</v>
      </c>
      <c r="F263" s="282">
        <f t="shared" si="18"/>
        <v>1385.9971937692953</v>
      </c>
      <c r="G263" s="282">
        <f t="shared" si="19"/>
        <v>191739.56170485972</v>
      </c>
    </row>
    <row r="264" spans="1:7" x14ac:dyDescent="0.3">
      <c r="A264" s="142">
        <v>254</v>
      </c>
      <c r="B264" s="252">
        <v>49460</v>
      </c>
      <c r="C264" s="282">
        <f t="shared" si="15"/>
        <v>191739.56170485972</v>
      </c>
      <c r="D264" s="282">
        <f t="shared" si="16"/>
        <v>2271.1560053880116</v>
      </c>
      <c r="E264" s="282">
        <f t="shared" si="17"/>
        <v>878.80632448060703</v>
      </c>
      <c r="F264" s="282">
        <f t="shared" si="18"/>
        <v>1392.3496809074045</v>
      </c>
      <c r="G264" s="282">
        <f t="shared" si="19"/>
        <v>190347.21202395231</v>
      </c>
    </row>
    <row r="265" spans="1:7" x14ac:dyDescent="0.3">
      <c r="A265" s="142">
        <v>255</v>
      </c>
      <c r="B265" s="252">
        <v>49490</v>
      </c>
      <c r="C265" s="282">
        <f t="shared" si="15"/>
        <v>190347.21202395231</v>
      </c>
      <c r="D265" s="282">
        <f t="shared" si="16"/>
        <v>2271.1560053880116</v>
      </c>
      <c r="E265" s="282">
        <f t="shared" si="17"/>
        <v>872.42472177644811</v>
      </c>
      <c r="F265" s="282">
        <f t="shared" si="18"/>
        <v>1398.7312836115634</v>
      </c>
      <c r="G265" s="282">
        <f t="shared" si="19"/>
        <v>188948.48074034075</v>
      </c>
    </row>
    <row r="266" spans="1:7" x14ac:dyDescent="0.3">
      <c r="A266" s="142">
        <v>256</v>
      </c>
      <c r="B266" s="252">
        <v>49521</v>
      </c>
      <c r="C266" s="282">
        <f t="shared" si="15"/>
        <v>188948.48074034075</v>
      </c>
      <c r="D266" s="282">
        <f t="shared" si="16"/>
        <v>2271.1560053880116</v>
      </c>
      <c r="E266" s="282">
        <f t="shared" si="17"/>
        <v>866.01387005989511</v>
      </c>
      <c r="F266" s="282">
        <f t="shared" si="18"/>
        <v>1405.1421353281166</v>
      </c>
      <c r="G266" s="282">
        <f t="shared" si="19"/>
        <v>187543.33860501263</v>
      </c>
    </row>
    <row r="267" spans="1:7" x14ac:dyDescent="0.3">
      <c r="A267" s="142">
        <v>257</v>
      </c>
      <c r="B267" s="252">
        <v>49552</v>
      </c>
      <c r="C267" s="282">
        <f t="shared" si="15"/>
        <v>187543.33860501263</v>
      </c>
      <c r="D267" s="282">
        <f t="shared" si="16"/>
        <v>2271.1560053880116</v>
      </c>
      <c r="E267" s="282">
        <f t="shared" si="17"/>
        <v>859.57363527297457</v>
      </c>
      <c r="F267" s="282">
        <f t="shared" si="18"/>
        <v>1411.5823701150371</v>
      </c>
      <c r="G267" s="282">
        <f t="shared" si="19"/>
        <v>186131.75623489759</v>
      </c>
    </row>
    <row r="268" spans="1:7" x14ac:dyDescent="0.3">
      <c r="A268" s="142">
        <v>258</v>
      </c>
      <c r="B268" s="252">
        <v>49582</v>
      </c>
      <c r="C268" s="282">
        <f t="shared" si="15"/>
        <v>186131.75623489759</v>
      </c>
      <c r="D268" s="282">
        <f t="shared" si="16"/>
        <v>2271.1560053880116</v>
      </c>
      <c r="E268" s="282">
        <f t="shared" si="17"/>
        <v>853.10388274328068</v>
      </c>
      <c r="F268" s="282">
        <f t="shared" si="18"/>
        <v>1418.0521226447308</v>
      </c>
      <c r="G268" s="282">
        <f t="shared" si="19"/>
        <v>184713.70411225286</v>
      </c>
    </row>
    <row r="269" spans="1:7" x14ac:dyDescent="0.3">
      <c r="A269" s="142">
        <v>259</v>
      </c>
      <c r="B269" s="252">
        <v>49613</v>
      </c>
      <c r="C269" s="282">
        <f t="shared" ref="C269:C332" si="20">G268</f>
        <v>184713.70411225286</v>
      </c>
      <c r="D269" s="282">
        <f t="shared" ref="D269:D332" si="21">$B$7</f>
        <v>2271.1560053880116</v>
      </c>
      <c r="E269" s="282">
        <f t="shared" ref="E269:E332" si="22">C269*$B$4/12</f>
        <v>846.60447718115893</v>
      </c>
      <c r="F269" s="282">
        <f t="shared" ref="F269:F332" si="23">D269-E269</f>
        <v>1424.5515282068527</v>
      </c>
      <c r="G269" s="282">
        <f t="shared" ref="G269:G332" si="24">C269-F269</f>
        <v>183289.15258404601</v>
      </c>
    </row>
    <row r="270" spans="1:7" x14ac:dyDescent="0.3">
      <c r="A270" s="142">
        <v>260</v>
      </c>
      <c r="B270" s="252">
        <v>49643</v>
      </c>
      <c r="C270" s="282">
        <f t="shared" si="20"/>
        <v>183289.15258404601</v>
      </c>
      <c r="D270" s="282">
        <f t="shared" si="21"/>
        <v>2271.1560053880116</v>
      </c>
      <c r="E270" s="282">
        <f t="shared" si="22"/>
        <v>840.07528267687758</v>
      </c>
      <c r="F270" s="282">
        <f t="shared" si="23"/>
        <v>1431.0807227111341</v>
      </c>
      <c r="G270" s="282">
        <f t="shared" si="24"/>
        <v>181858.07186133487</v>
      </c>
    </row>
    <row r="271" spans="1:7" x14ac:dyDescent="0.3">
      <c r="A271" s="142">
        <v>261</v>
      </c>
      <c r="B271" s="252">
        <v>49674</v>
      </c>
      <c r="C271" s="282">
        <f t="shared" si="20"/>
        <v>181858.07186133487</v>
      </c>
      <c r="D271" s="282">
        <f t="shared" si="21"/>
        <v>2271.1560053880116</v>
      </c>
      <c r="E271" s="282">
        <f t="shared" si="22"/>
        <v>833.51616269778481</v>
      </c>
      <c r="F271" s="282">
        <f t="shared" si="23"/>
        <v>1437.6398426902269</v>
      </c>
      <c r="G271" s="282">
        <f t="shared" si="24"/>
        <v>180420.43201864464</v>
      </c>
    </row>
    <row r="272" spans="1:7" x14ac:dyDescent="0.3">
      <c r="A272" s="142">
        <v>262</v>
      </c>
      <c r="B272" s="252">
        <v>49705</v>
      </c>
      <c r="C272" s="282">
        <f t="shared" si="20"/>
        <v>180420.43201864464</v>
      </c>
      <c r="D272" s="282">
        <f t="shared" si="21"/>
        <v>2271.1560053880116</v>
      </c>
      <c r="E272" s="282">
        <f t="shared" si="22"/>
        <v>826.9269800854546</v>
      </c>
      <c r="F272" s="282">
        <f t="shared" si="23"/>
        <v>1444.2290253025571</v>
      </c>
      <c r="G272" s="282">
        <f t="shared" si="24"/>
        <v>178976.20299334207</v>
      </c>
    </row>
    <row r="273" spans="1:7" x14ac:dyDescent="0.3">
      <c r="A273" s="142">
        <v>263</v>
      </c>
      <c r="B273" s="252">
        <v>49734</v>
      </c>
      <c r="C273" s="282">
        <f t="shared" si="20"/>
        <v>178976.20299334207</v>
      </c>
      <c r="D273" s="282">
        <f t="shared" si="21"/>
        <v>2271.1560053880116</v>
      </c>
      <c r="E273" s="282">
        <f t="shared" si="22"/>
        <v>820.30759705281787</v>
      </c>
      <c r="F273" s="282">
        <f t="shared" si="23"/>
        <v>1450.8484083351937</v>
      </c>
      <c r="G273" s="282">
        <f t="shared" si="24"/>
        <v>177525.35458500689</v>
      </c>
    </row>
    <row r="274" spans="1:7" x14ac:dyDescent="0.3">
      <c r="A274" s="142">
        <v>264</v>
      </c>
      <c r="B274" s="252">
        <v>49765</v>
      </c>
      <c r="C274" s="282">
        <f t="shared" si="20"/>
        <v>177525.35458500689</v>
      </c>
      <c r="D274" s="282">
        <f t="shared" si="21"/>
        <v>2271.1560053880116</v>
      </c>
      <c r="E274" s="282">
        <f t="shared" si="22"/>
        <v>813.65787518128161</v>
      </c>
      <c r="F274" s="282">
        <f t="shared" si="23"/>
        <v>1457.4981302067299</v>
      </c>
      <c r="G274" s="282">
        <f t="shared" si="24"/>
        <v>176067.85645480017</v>
      </c>
    </row>
    <row r="275" spans="1:7" x14ac:dyDescent="0.3">
      <c r="A275" s="142">
        <v>265</v>
      </c>
      <c r="B275" s="252">
        <v>49795</v>
      </c>
      <c r="C275" s="282">
        <f t="shared" si="20"/>
        <v>176067.85645480017</v>
      </c>
      <c r="D275" s="282">
        <f t="shared" si="21"/>
        <v>2271.1560053880116</v>
      </c>
      <c r="E275" s="282">
        <f t="shared" si="22"/>
        <v>806.97767541783412</v>
      </c>
      <c r="F275" s="282">
        <f t="shared" si="23"/>
        <v>1464.1783299701774</v>
      </c>
      <c r="G275" s="282">
        <f t="shared" si="24"/>
        <v>174603.67812483001</v>
      </c>
    </row>
    <row r="276" spans="1:7" x14ac:dyDescent="0.3">
      <c r="A276" s="142">
        <v>266</v>
      </c>
      <c r="B276" s="252">
        <v>49826</v>
      </c>
      <c r="C276" s="282">
        <f t="shared" si="20"/>
        <v>174603.67812483001</v>
      </c>
      <c r="D276" s="282">
        <f t="shared" si="21"/>
        <v>2271.1560053880116</v>
      </c>
      <c r="E276" s="282">
        <f t="shared" si="22"/>
        <v>800.26685807213755</v>
      </c>
      <c r="F276" s="282">
        <f t="shared" si="23"/>
        <v>1470.8891473158742</v>
      </c>
      <c r="G276" s="282">
        <f t="shared" si="24"/>
        <v>173132.78897751414</v>
      </c>
    </row>
    <row r="277" spans="1:7" x14ac:dyDescent="0.3">
      <c r="A277" s="142">
        <v>267</v>
      </c>
      <c r="B277" s="252">
        <v>49856</v>
      </c>
      <c r="C277" s="282">
        <f t="shared" si="20"/>
        <v>173132.78897751414</v>
      </c>
      <c r="D277" s="282">
        <f t="shared" si="21"/>
        <v>2271.1560053880116</v>
      </c>
      <c r="E277" s="282">
        <f t="shared" si="22"/>
        <v>793.5252828136064</v>
      </c>
      <c r="F277" s="282">
        <f t="shared" si="23"/>
        <v>1477.6307225744054</v>
      </c>
      <c r="G277" s="282">
        <f t="shared" si="24"/>
        <v>171655.15825493974</v>
      </c>
    </row>
    <row r="278" spans="1:7" x14ac:dyDescent="0.3">
      <c r="A278" s="142">
        <v>268</v>
      </c>
      <c r="B278" s="252">
        <v>49887</v>
      </c>
      <c r="C278" s="282">
        <f t="shared" si="20"/>
        <v>171655.15825493974</v>
      </c>
      <c r="D278" s="282">
        <f t="shared" si="21"/>
        <v>2271.1560053880116</v>
      </c>
      <c r="E278" s="282">
        <f t="shared" si="22"/>
        <v>786.75280866847379</v>
      </c>
      <c r="F278" s="282">
        <f t="shared" si="23"/>
        <v>1484.4031967195378</v>
      </c>
      <c r="G278" s="282">
        <f t="shared" si="24"/>
        <v>170170.75505822021</v>
      </c>
    </row>
    <row r="279" spans="1:7" x14ac:dyDescent="0.3">
      <c r="A279" s="142">
        <v>269</v>
      </c>
      <c r="B279" s="252">
        <v>49918</v>
      </c>
      <c r="C279" s="282">
        <f t="shared" si="20"/>
        <v>170170.75505822021</v>
      </c>
      <c r="D279" s="282">
        <f t="shared" si="21"/>
        <v>2271.1560053880116</v>
      </c>
      <c r="E279" s="282">
        <f t="shared" si="22"/>
        <v>779.9492940168426</v>
      </c>
      <c r="F279" s="282">
        <f t="shared" si="23"/>
        <v>1491.2067113711691</v>
      </c>
      <c r="G279" s="282">
        <f t="shared" si="24"/>
        <v>168679.54834684904</v>
      </c>
    </row>
    <row r="280" spans="1:7" x14ac:dyDescent="0.3">
      <c r="A280" s="142">
        <v>270</v>
      </c>
      <c r="B280" s="252">
        <v>49948</v>
      </c>
      <c r="C280" s="282">
        <f t="shared" si="20"/>
        <v>168679.54834684904</v>
      </c>
      <c r="D280" s="282">
        <f t="shared" si="21"/>
        <v>2271.1560053880116</v>
      </c>
      <c r="E280" s="282">
        <f t="shared" si="22"/>
        <v>773.11459658972478</v>
      </c>
      <c r="F280" s="282">
        <f t="shared" si="23"/>
        <v>1498.0414087982867</v>
      </c>
      <c r="G280" s="282">
        <f t="shared" si="24"/>
        <v>167181.50693805076</v>
      </c>
    </row>
    <row r="281" spans="1:7" x14ac:dyDescent="0.3">
      <c r="A281" s="142">
        <v>271</v>
      </c>
      <c r="B281" s="252">
        <v>49979</v>
      </c>
      <c r="C281" s="282">
        <f t="shared" si="20"/>
        <v>167181.50693805076</v>
      </c>
      <c r="D281" s="282">
        <f t="shared" si="21"/>
        <v>2271.1560053880116</v>
      </c>
      <c r="E281" s="282">
        <f t="shared" si="22"/>
        <v>766.24857346606598</v>
      </c>
      <c r="F281" s="282">
        <f t="shared" si="23"/>
        <v>1504.9074319219458</v>
      </c>
      <c r="G281" s="282">
        <f t="shared" si="24"/>
        <v>165676.59950612881</v>
      </c>
    </row>
    <row r="282" spans="1:7" x14ac:dyDescent="0.3">
      <c r="A282" s="142">
        <v>272</v>
      </c>
      <c r="B282" s="252">
        <v>50009</v>
      </c>
      <c r="C282" s="282">
        <f t="shared" si="20"/>
        <v>165676.59950612881</v>
      </c>
      <c r="D282" s="282">
        <f t="shared" si="21"/>
        <v>2271.1560053880116</v>
      </c>
      <c r="E282" s="282">
        <f t="shared" si="22"/>
        <v>759.35108106975713</v>
      </c>
      <c r="F282" s="282">
        <f t="shared" si="23"/>
        <v>1511.8049243182545</v>
      </c>
      <c r="G282" s="282">
        <f t="shared" si="24"/>
        <v>164164.79458181057</v>
      </c>
    </row>
    <row r="283" spans="1:7" x14ac:dyDescent="0.3">
      <c r="A283" s="142">
        <v>273</v>
      </c>
      <c r="B283" s="252">
        <v>50040</v>
      </c>
      <c r="C283" s="282">
        <f t="shared" si="20"/>
        <v>164164.79458181057</v>
      </c>
      <c r="D283" s="282">
        <f t="shared" si="21"/>
        <v>2271.1560053880116</v>
      </c>
      <c r="E283" s="282">
        <f t="shared" si="22"/>
        <v>752.4219751666318</v>
      </c>
      <c r="F283" s="282">
        <f t="shared" si="23"/>
        <v>1518.7340302213797</v>
      </c>
      <c r="G283" s="282">
        <f t="shared" si="24"/>
        <v>162646.06055158918</v>
      </c>
    </row>
    <row r="284" spans="1:7" x14ac:dyDescent="0.3">
      <c r="A284" s="142">
        <v>274</v>
      </c>
      <c r="B284" s="252">
        <v>50071</v>
      </c>
      <c r="C284" s="282">
        <f t="shared" si="20"/>
        <v>162646.06055158918</v>
      </c>
      <c r="D284" s="282">
        <f t="shared" si="21"/>
        <v>2271.1560053880116</v>
      </c>
      <c r="E284" s="282">
        <f t="shared" si="22"/>
        <v>745.46111086145038</v>
      </c>
      <c r="F284" s="282">
        <f t="shared" si="23"/>
        <v>1525.6948945265613</v>
      </c>
      <c r="G284" s="282">
        <f t="shared" si="24"/>
        <v>161120.36565706262</v>
      </c>
    </row>
    <row r="285" spans="1:7" x14ac:dyDescent="0.3">
      <c r="A285" s="142">
        <v>275</v>
      </c>
      <c r="B285" s="252">
        <v>50099</v>
      </c>
      <c r="C285" s="282">
        <f t="shared" si="20"/>
        <v>161120.36565706262</v>
      </c>
      <c r="D285" s="282">
        <f t="shared" si="21"/>
        <v>2271.1560053880116</v>
      </c>
      <c r="E285" s="282">
        <f t="shared" si="22"/>
        <v>738.46834259487025</v>
      </c>
      <c r="F285" s="282">
        <f t="shared" si="23"/>
        <v>1532.6876627931415</v>
      </c>
      <c r="G285" s="282">
        <f t="shared" si="24"/>
        <v>159587.67799426947</v>
      </c>
    </row>
    <row r="286" spans="1:7" x14ac:dyDescent="0.3">
      <c r="A286" s="142">
        <v>276</v>
      </c>
      <c r="B286" s="252">
        <v>50130</v>
      </c>
      <c r="C286" s="282">
        <f t="shared" si="20"/>
        <v>159587.67799426947</v>
      </c>
      <c r="D286" s="282">
        <f t="shared" si="21"/>
        <v>2271.1560053880116</v>
      </c>
      <c r="E286" s="282">
        <f t="shared" si="22"/>
        <v>731.44352414040168</v>
      </c>
      <c r="F286" s="282">
        <f t="shared" si="23"/>
        <v>1539.71248124761</v>
      </c>
      <c r="G286" s="282">
        <f t="shared" si="24"/>
        <v>158047.96551302186</v>
      </c>
    </row>
    <row r="287" spans="1:7" x14ac:dyDescent="0.3">
      <c r="A287" s="142">
        <v>277</v>
      </c>
      <c r="B287" s="252">
        <v>50160</v>
      </c>
      <c r="C287" s="282">
        <f t="shared" si="20"/>
        <v>158047.96551302186</v>
      </c>
      <c r="D287" s="282">
        <f t="shared" si="21"/>
        <v>2271.1560053880116</v>
      </c>
      <c r="E287" s="282">
        <f t="shared" si="22"/>
        <v>724.38650860135022</v>
      </c>
      <c r="F287" s="282">
        <f t="shared" si="23"/>
        <v>1546.7694967866614</v>
      </c>
      <c r="G287" s="282">
        <f t="shared" si="24"/>
        <v>156501.19601623519</v>
      </c>
    </row>
    <row r="288" spans="1:7" x14ac:dyDescent="0.3">
      <c r="A288" s="142">
        <v>278</v>
      </c>
      <c r="B288" s="252">
        <v>50191</v>
      </c>
      <c r="C288" s="282">
        <f t="shared" si="20"/>
        <v>156501.19601623519</v>
      </c>
      <c r="D288" s="282">
        <f t="shared" si="21"/>
        <v>2271.1560053880116</v>
      </c>
      <c r="E288" s="282">
        <f t="shared" si="22"/>
        <v>717.29714840774466</v>
      </c>
      <c r="F288" s="282">
        <f t="shared" si="23"/>
        <v>1553.8588569802669</v>
      </c>
      <c r="G288" s="282">
        <f t="shared" si="24"/>
        <v>154947.33715925494</v>
      </c>
    </row>
    <row r="289" spans="1:7" x14ac:dyDescent="0.3">
      <c r="A289" s="142">
        <v>279</v>
      </c>
      <c r="B289" s="252">
        <v>50221</v>
      </c>
      <c r="C289" s="282">
        <f t="shared" si="20"/>
        <v>154947.33715925494</v>
      </c>
      <c r="D289" s="282">
        <f t="shared" si="21"/>
        <v>2271.1560053880116</v>
      </c>
      <c r="E289" s="282">
        <f t="shared" si="22"/>
        <v>710.17529531325181</v>
      </c>
      <c r="F289" s="282">
        <f t="shared" si="23"/>
        <v>1560.9807100747598</v>
      </c>
      <c r="G289" s="282">
        <f t="shared" si="24"/>
        <v>153386.35644918017</v>
      </c>
    </row>
    <row r="290" spans="1:7" x14ac:dyDescent="0.3">
      <c r="A290" s="142">
        <v>280</v>
      </c>
      <c r="B290" s="252">
        <v>50252</v>
      </c>
      <c r="C290" s="282">
        <f t="shared" si="20"/>
        <v>153386.35644918017</v>
      </c>
      <c r="D290" s="282">
        <f t="shared" si="21"/>
        <v>2271.1560053880116</v>
      </c>
      <c r="E290" s="282">
        <f t="shared" si="22"/>
        <v>703.02080039207578</v>
      </c>
      <c r="F290" s="282">
        <f t="shared" si="23"/>
        <v>1568.135204995936</v>
      </c>
      <c r="G290" s="282">
        <f t="shared" si="24"/>
        <v>151818.22124418424</v>
      </c>
    </row>
    <row r="291" spans="1:7" x14ac:dyDescent="0.3">
      <c r="A291" s="142">
        <v>281</v>
      </c>
      <c r="B291" s="252">
        <v>50283</v>
      </c>
      <c r="C291" s="282">
        <f t="shared" si="20"/>
        <v>151818.22124418424</v>
      </c>
      <c r="D291" s="282">
        <f t="shared" si="21"/>
        <v>2271.1560053880116</v>
      </c>
      <c r="E291" s="282">
        <f t="shared" si="22"/>
        <v>695.83351403584447</v>
      </c>
      <c r="F291" s="282">
        <f t="shared" si="23"/>
        <v>1575.3224913521672</v>
      </c>
      <c r="G291" s="282">
        <f t="shared" si="24"/>
        <v>150242.89875283209</v>
      </c>
    </row>
    <row r="292" spans="1:7" x14ac:dyDescent="0.3">
      <c r="A292" s="142">
        <v>282</v>
      </c>
      <c r="B292" s="252">
        <v>50313</v>
      </c>
      <c r="C292" s="282">
        <f t="shared" si="20"/>
        <v>150242.89875283209</v>
      </c>
      <c r="D292" s="282">
        <f t="shared" si="21"/>
        <v>2271.1560053880116</v>
      </c>
      <c r="E292" s="282">
        <f t="shared" si="22"/>
        <v>688.61328595048042</v>
      </c>
      <c r="F292" s="282">
        <f t="shared" si="23"/>
        <v>1582.5427194375311</v>
      </c>
      <c r="G292" s="282">
        <f t="shared" si="24"/>
        <v>148660.35603339455</v>
      </c>
    </row>
    <row r="293" spans="1:7" x14ac:dyDescent="0.3">
      <c r="A293" s="142">
        <v>283</v>
      </c>
      <c r="B293" s="252">
        <v>50344</v>
      </c>
      <c r="C293" s="282">
        <f t="shared" si="20"/>
        <v>148660.35603339455</v>
      </c>
      <c r="D293" s="282">
        <f t="shared" si="21"/>
        <v>2271.1560053880116</v>
      </c>
      <c r="E293" s="282">
        <f t="shared" si="22"/>
        <v>681.3599651530584</v>
      </c>
      <c r="F293" s="282">
        <f t="shared" si="23"/>
        <v>1589.7960402349531</v>
      </c>
      <c r="G293" s="282">
        <f t="shared" si="24"/>
        <v>147070.55999315961</v>
      </c>
    </row>
    <row r="294" spans="1:7" x14ac:dyDescent="0.3">
      <c r="A294" s="142">
        <v>284</v>
      </c>
      <c r="B294" s="252">
        <v>50374</v>
      </c>
      <c r="C294" s="282">
        <f t="shared" si="20"/>
        <v>147070.55999315961</v>
      </c>
      <c r="D294" s="282">
        <f t="shared" si="21"/>
        <v>2271.1560053880116</v>
      </c>
      <c r="E294" s="282">
        <f t="shared" si="22"/>
        <v>674.07339996864823</v>
      </c>
      <c r="F294" s="282">
        <f t="shared" si="23"/>
        <v>1597.0826054193635</v>
      </c>
      <c r="G294" s="282">
        <f t="shared" si="24"/>
        <v>145473.47738774025</v>
      </c>
    </row>
    <row r="295" spans="1:7" x14ac:dyDescent="0.3">
      <c r="A295" s="142">
        <v>285</v>
      </c>
      <c r="B295" s="252">
        <v>50405</v>
      </c>
      <c r="C295" s="282">
        <f t="shared" si="20"/>
        <v>145473.47738774025</v>
      </c>
      <c r="D295" s="282">
        <f t="shared" si="21"/>
        <v>2271.1560053880116</v>
      </c>
      <c r="E295" s="282">
        <f t="shared" si="22"/>
        <v>666.75343802714281</v>
      </c>
      <c r="F295" s="282">
        <f t="shared" si="23"/>
        <v>1604.4025673608689</v>
      </c>
      <c r="G295" s="282">
        <f t="shared" si="24"/>
        <v>143869.07482037938</v>
      </c>
    </row>
    <row r="296" spans="1:7" x14ac:dyDescent="0.3">
      <c r="A296" s="142">
        <v>286</v>
      </c>
      <c r="B296" s="252">
        <v>50436</v>
      </c>
      <c r="C296" s="282">
        <f t="shared" si="20"/>
        <v>143869.07482037938</v>
      </c>
      <c r="D296" s="282">
        <f t="shared" si="21"/>
        <v>2271.1560053880116</v>
      </c>
      <c r="E296" s="282">
        <f t="shared" si="22"/>
        <v>659.39992626007222</v>
      </c>
      <c r="F296" s="282">
        <f t="shared" si="23"/>
        <v>1611.7560791279393</v>
      </c>
      <c r="G296" s="282">
        <f t="shared" si="24"/>
        <v>142257.31874125142</v>
      </c>
    </row>
    <row r="297" spans="1:7" x14ac:dyDescent="0.3">
      <c r="A297" s="142">
        <v>287</v>
      </c>
      <c r="B297" s="252">
        <v>50464</v>
      </c>
      <c r="C297" s="282">
        <f t="shared" si="20"/>
        <v>142257.31874125142</v>
      </c>
      <c r="D297" s="282">
        <f t="shared" si="21"/>
        <v>2271.1560053880116</v>
      </c>
      <c r="E297" s="282">
        <f t="shared" si="22"/>
        <v>652.01271089740237</v>
      </c>
      <c r="F297" s="282">
        <f t="shared" si="23"/>
        <v>1619.1432944906092</v>
      </c>
      <c r="G297" s="282">
        <f t="shared" si="24"/>
        <v>140638.17544676081</v>
      </c>
    </row>
    <row r="298" spans="1:7" x14ac:dyDescent="0.3">
      <c r="A298" s="142">
        <v>288</v>
      </c>
      <c r="B298" s="252">
        <v>50495</v>
      </c>
      <c r="C298" s="282">
        <f t="shared" si="20"/>
        <v>140638.17544676081</v>
      </c>
      <c r="D298" s="282">
        <f t="shared" si="21"/>
        <v>2271.1560053880116</v>
      </c>
      <c r="E298" s="282">
        <f t="shared" si="22"/>
        <v>644.59163746432034</v>
      </c>
      <c r="F298" s="282">
        <f t="shared" si="23"/>
        <v>1626.5643679236914</v>
      </c>
      <c r="G298" s="282">
        <f t="shared" si="24"/>
        <v>139011.61107883713</v>
      </c>
    </row>
    <row r="299" spans="1:7" x14ac:dyDescent="0.3">
      <c r="A299" s="142">
        <v>289</v>
      </c>
      <c r="B299" s="252">
        <v>50525</v>
      </c>
      <c r="C299" s="282">
        <f t="shared" si="20"/>
        <v>139011.61107883713</v>
      </c>
      <c r="D299" s="282">
        <f t="shared" si="21"/>
        <v>2271.1560053880116</v>
      </c>
      <c r="E299" s="282">
        <f t="shared" si="22"/>
        <v>637.13655077800354</v>
      </c>
      <c r="F299" s="282">
        <f t="shared" si="23"/>
        <v>1634.0194546100081</v>
      </c>
      <c r="G299" s="282">
        <f t="shared" si="24"/>
        <v>137377.59162422712</v>
      </c>
    </row>
    <row r="300" spans="1:7" x14ac:dyDescent="0.3">
      <c r="A300" s="142">
        <v>290</v>
      </c>
      <c r="B300" s="252">
        <v>50556</v>
      </c>
      <c r="C300" s="282">
        <f t="shared" si="20"/>
        <v>137377.59162422712</v>
      </c>
      <c r="D300" s="282">
        <f t="shared" si="21"/>
        <v>2271.1560053880116</v>
      </c>
      <c r="E300" s="282">
        <f t="shared" si="22"/>
        <v>629.64729494437427</v>
      </c>
      <c r="F300" s="282">
        <f t="shared" si="23"/>
        <v>1641.5087104436375</v>
      </c>
      <c r="G300" s="282">
        <f t="shared" si="24"/>
        <v>135736.0829137835</v>
      </c>
    </row>
    <row r="301" spans="1:7" x14ac:dyDescent="0.3">
      <c r="A301" s="142">
        <v>291</v>
      </c>
      <c r="B301" s="252">
        <v>50586</v>
      </c>
      <c r="C301" s="282">
        <f t="shared" si="20"/>
        <v>135736.0829137835</v>
      </c>
      <c r="D301" s="282">
        <f t="shared" si="21"/>
        <v>2271.1560053880116</v>
      </c>
      <c r="E301" s="282">
        <f t="shared" si="22"/>
        <v>622.12371335484102</v>
      </c>
      <c r="F301" s="282">
        <f t="shared" si="23"/>
        <v>1649.0322920331705</v>
      </c>
      <c r="G301" s="282">
        <f t="shared" si="24"/>
        <v>134087.05062175033</v>
      </c>
    </row>
    <row r="302" spans="1:7" x14ac:dyDescent="0.3">
      <c r="A302" s="142">
        <v>292</v>
      </c>
      <c r="B302" s="252">
        <v>50617</v>
      </c>
      <c r="C302" s="282">
        <f t="shared" si="20"/>
        <v>134087.05062175033</v>
      </c>
      <c r="D302" s="282">
        <f t="shared" si="21"/>
        <v>2271.1560053880116</v>
      </c>
      <c r="E302" s="282">
        <f t="shared" si="22"/>
        <v>614.56564868302235</v>
      </c>
      <c r="F302" s="282">
        <f t="shared" si="23"/>
        <v>1656.5903567049893</v>
      </c>
      <c r="G302" s="282">
        <f t="shared" si="24"/>
        <v>132430.46026504535</v>
      </c>
    </row>
    <row r="303" spans="1:7" x14ac:dyDescent="0.3">
      <c r="A303" s="142">
        <v>293</v>
      </c>
      <c r="B303" s="252">
        <v>50648</v>
      </c>
      <c r="C303" s="282">
        <f t="shared" si="20"/>
        <v>132430.46026504535</v>
      </c>
      <c r="D303" s="282">
        <f t="shared" si="21"/>
        <v>2271.1560053880116</v>
      </c>
      <c r="E303" s="282">
        <f t="shared" si="22"/>
        <v>606.97294288145781</v>
      </c>
      <c r="F303" s="282">
        <f t="shared" si="23"/>
        <v>1664.1830625065538</v>
      </c>
      <c r="G303" s="282">
        <f t="shared" si="24"/>
        <v>130766.2772025388</v>
      </c>
    </row>
    <row r="304" spans="1:7" x14ac:dyDescent="0.3">
      <c r="A304" s="142">
        <v>294</v>
      </c>
      <c r="B304" s="252">
        <v>50678</v>
      </c>
      <c r="C304" s="282">
        <f t="shared" si="20"/>
        <v>130766.2772025388</v>
      </c>
      <c r="D304" s="282">
        <f t="shared" si="21"/>
        <v>2271.1560053880116</v>
      </c>
      <c r="E304" s="282">
        <f t="shared" si="22"/>
        <v>599.34543717830286</v>
      </c>
      <c r="F304" s="282">
        <f t="shared" si="23"/>
        <v>1671.8105682097089</v>
      </c>
      <c r="G304" s="282">
        <f t="shared" si="24"/>
        <v>129094.46663432909</v>
      </c>
    </row>
    <row r="305" spans="1:7" x14ac:dyDescent="0.3">
      <c r="A305" s="142">
        <v>295</v>
      </c>
      <c r="B305" s="252">
        <v>50709</v>
      </c>
      <c r="C305" s="282">
        <f t="shared" si="20"/>
        <v>129094.46663432909</v>
      </c>
      <c r="D305" s="282">
        <f t="shared" si="21"/>
        <v>2271.1560053880116</v>
      </c>
      <c r="E305" s="282">
        <f t="shared" si="22"/>
        <v>591.68297207400826</v>
      </c>
      <c r="F305" s="282">
        <f t="shared" si="23"/>
        <v>1679.4730333140033</v>
      </c>
      <c r="G305" s="282">
        <f t="shared" si="24"/>
        <v>127414.99360101509</v>
      </c>
    </row>
    <row r="306" spans="1:7" x14ac:dyDescent="0.3">
      <c r="A306" s="142">
        <v>296</v>
      </c>
      <c r="B306" s="252">
        <v>50739</v>
      </c>
      <c r="C306" s="282">
        <f t="shared" si="20"/>
        <v>127414.99360101509</v>
      </c>
      <c r="D306" s="282">
        <f t="shared" si="21"/>
        <v>2271.1560053880116</v>
      </c>
      <c r="E306" s="282">
        <f t="shared" si="22"/>
        <v>583.9853873379858</v>
      </c>
      <c r="F306" s="282">
        <f t="shared" si="23"/>
        <v>1687.170618050026</v>
      </c>
      <c r="G306" s="282">
        <f t="shared" si="24"/>
        <v>125727.82298296507</v>
      </c>
    </row>
    <row r="307" spans="1:7" x14ac:dyDescent="0.3">
      <c r="A307" s="142">
        <v>297</v>
      </c>
      <c r="B307" s="252">
        <v>50770</v>
      </c>
      <c r="C307" s="282">
        <f t="shared" si="20"/>
        <v>125727.82298296507</v>
      </c>
      <c r="D307" s="282">
        <f t="shared" si="21"/>
        <v>2271.1560053880116</v>
      </c>
      <c r="E307" s="282">
        <f t="shared" si="22"/>
        <v>576.25252200525654</v>
      </c>
      <c r="F307" s="282">
        <f t="shared" si="23"/>
        <v>1694.903483382755</v>
      </c>
      <c r="G307" s="282">
        <f t="shared" si="24"/>
        <v>124032.91949958231</v>
      </c>
    </row>
    <row r="308" spans="1:7" x14ac:dyDescent="0.3">
      <c r="A308" s="142">
        <v>298</v>
      </c>
      <c r="B308" s="252">
        <v>50801</v>
      </c>
      <c r="C308" s="282">
        <f t="shared" si="20"/>
        <v>124032.91949958231</v>
      </c>
      <c r="D308" s="282">
        <f t="shared" si="21"/>
        <v>2271.1560053880116</v>
      </c>
      <c r="E308" s="282">
        <f t="shared" si="22"/>
        <v>568.48421437308559</v>
      </c>
      <c r="F308" s="282">
        <f t="shared" si="23"/>
        <v>1702.6717910149259</v>
      </c>
      <c r="G308" s="282">
        <f t="shared" si="24"/>
        <v>122330.24770856737</v>
      </c>
    </row>
    <row r="309" spans="1:7" x14ac:dyDescent="0.3">
      <c r="A309" s="142">
        <v>299</v>
      </c>
      <c r="B309" s="252">
        <v>50829</v>
      </c>
      <c r="C309" s="282">
        <f t="shared" si="20"/>
        <v>122330.24770856737</v>
      </c>
      <c r="D309" s="282">
        <f t="shared" si="21"/>
        <v>2271.1560053880116</v>
      </c>
      <c r="E309" s="282">
        <f t="shared" si="22"/>
        <v>560.6803019976004</v>
      </c>
      <c r="F309" s="282">
        <f t="shared" si="23"/>
        <v>1710.4757033904111</v>
      </c>
      <c r="G309" s="282">
        <f t="shared" si="24"/>
        <v>120619.77200517696</v>
      </c>
    </row>
    <row r="310" spans="1:7" x14ac:dyDescent="0.3">
      <c r="A310" s="142">
        <v>300</v>
      </c>
      <c r="B310" s="252">
        <v>50860</v>
      </c>
      <c r="C310" s="282">
        <f t="shared" si="20"/>
        <v>120619.77200517696</v>
      </c>
      <c r="D310" s="282">
        <f t="shared" si="21"/>
        <v>2271.1560053880116</v>
      </c>
      <c r="E310" s="282">
        <f t="shared" si="22"/>
        <v>552.84062169039441</v>
      </c>
      <c r="F310" s="282">
        <f t="shared" si="23"/>
        <v>1718.3153836976171</v>
      </c>
      <c r="G310" s="282">
        <f t="shared" si="24"/>
        <v>118901.45662147934</v>
      </c>
    </row>
    <row r="311" spans="1:7" x14ac:dyDescent="0.3">
      <c r="A311" s="142">
        <v>301</v>
      </c>
      <c r="B311" s="252">
        <v>50890</v>
      </c>
      <c r="C311" s="282">
        <f t="shared" si="20"/>
        <v>118901.45662147934</v>
      </c>
      <c r="D311" s="282">
        <f t="shared" si="21"/>
        <v>2271.1560053880116</v>
      </c>
      <c r="E311" s="282">
        <f t="shared" si="22"/>
        <v>544.96500951511359</v>
      </c>
      <c r="F311" s="282">
        <f t="shared" si="23"/>
        <v>1726.1909958728979</v>
      </c>
      <c r="G311" s="282">
        <f t="shared" si="24"/>
        <v>117175.26562560645</v>
      </c>
    </row>
    <row r="312" spans="1:7" x14ac:dyDescent="0.3">
      <c r="A312" s="142">
        <v>302</v>
      </c>
      <c r="B312" s="252">
        <v>50921</v>
      </c>
      <c r="C312" s="282">
        <f t="shared" si="20"/>
        <v>117175.26562560645</v>
      </c>
      <c r="D312" s="282">
        <f t="shared" si="21"/>
        <v>2271.1560053880116</v>
      </c>
      <c r="E312" s="282">
        <f t="shared" si="22"/>
        <v>537.0533007840296</v>
      </c>
      <c r="F312" s="282">
        <f t="shared" si="23"/>
        <v>1734.1027046039821</v>
      </c>
      <c r="G312" s="282">
        <f t="shared" si="24"/>
        <v>115441.16292100247</v>
      </c>
    </row>
    <row r="313" spans="1:7" x14ac:dyDescent="0.3">
      <c r="A313" s="142">
        <v>303</v>
      </c>
      <c r="B313" s="252">
        <v>50951</v>
      </c>
      <c r="C313" s="282">
        <f t="shared" si="20"/>
        <v>115441.16292100247</v>
      </c>
      <c r="D313" s="282">
        <f t="shared" si="21"/>
        <v>2271.1560053880116</v>
      </c>
      <c r="E313" s="282">
        <f t="shared" si="22"/>
        <v>529.10533005459467</v>
      </c>
      <c r="F313" s="282">
        <f t="shared" si="23"/>
        <v>1742.0506753334171</v>
      </c>
      <c r="G313" s="282">
        <f t="shared" si="24"/>
        <v>113699.11224566905</v>
      </c>
    </row>
    <row r="314" spans="1:7" x14ac:dyDescent="0.3">
      <c r="A314" s="142">
        <v>304</v>
      </c>
      <c r="B314" s="252">
        <v>50982</v>
      </c>
      <c r="C314" s="282">
        <f t="shared" si="20"/>
        <v>113699.11224566905</v>
      </c>
      <c r="D314" s="282">
        <f t="shared" si="21"/>
        <v>2271.1560053880116</v>
      </c>
      <c r="E314" s="282">
        <f t="shared" si="22"/>
        <v>521.12093112598313</v>
      </c>
      <c r="F314" s="282">
        <f t="shared" si="23"/>
        <v>1750.0350742620285</v>
      </c>
      <c r="G314" s="282">
        <f t="shared" si="24"/>
        <v>111949.07717140703</v>
      </c>
    </row>
    <row r="315" spans="1:7" x14ac:dyDescent="0.3">
      <c r="A315" s="142">
        <v>305</v>
      </c>
      <c r="B315" s="252">
        <v>51013</v>
      </c>
      <c r="C315" s="282">
        <f t="shared" si="20"/>
        <v>111949.07717140703</v>
      </c>
      <c r="D315" s="282">
        <f t="shared" si="21"/>
        <v>2271.1560053880116</v>
      </c>
      <c r="E315" s="282">
        <f t="shared" si="22"/>
        <v>513.09993703561554</v>
      </c>
      <c r="F315" s="282">
        <f t="shared" si="23"/>
        <v>1758.0560683523961</v>
      </c>
      <c r="G315" s="282">
        <f t="shared" si="24"/>
        <v>110191.02110305463</v>
      </c>
    </row>
    <row r="316" spans="1:7" x14ac:dyDescent="0.3">
      <c r="A316" s="142">
        <v>306</v>
      </c>
      <c r="B316" s="252">
        <v>51043</v>
      </c>
      <c r="C316" s="282">
        <f t="shared" si="20"/>
        <v>110191.02110305463</v>
      </c>
      <c r="D316" s="282">
        <f t="shared" si="21"/>
        <v>2271.1560053880116</v>
      </c>
      <c r="E316" s="282">
        <f t="shared" si="22"/>
        <v>505.04218005566707</v>
      </c>
      <c r="F316" s="282">
        <f t="shared" si="23"/>
        <v>1766.1138253323445</v>
      </c>
      <c r="G316" s="282">
        <f t="shared" si="24"/>
        <v>108424.90727772229</v>
      </c>
    </row>
    <row r="317" spans="1:7" x14ac:dyDescent="0.3">
      <c r="A317" s="142">
        <v>307</v>
      </c>
      <c r="B317" s="252">
        <v>51074</v>
      </c>
      <c r="C317" s="282">
        <f t="shared" si="20"/>
        <v>108424.90727772229</v>
      </c>
      <c r="D317" s="282">
        <f t="shared" si="21"/>
        <v>2271.1560053880116</v>
      </c>
      <c r="E317" s="282">
        <f t="shared" si="22"/>
        <v>496.94749168956054</v>
      </c>
      <c r="F317" s="282">
        <f t="shared" si="23"/>
        <v>1774.208513698451</v>
      </c>
      <c r="G317" s="282">
        <f t="shared" si="24"/>
        <v>106650.69876402384</v>
      </c>
    </row>
    <row r="318" spans="1:7" x14ac:dyDescent="0.3">
      <c r="A318" s="142">
        <v>308</v>
      </c>
      <c r="B318" s="252">
        <v>51104</v>
      </c>
      <c r="C318" s="282">
        <f t="shared" si="20"/>
        <v>106650.69876402384</v>
      </c>
      <c r="D318" s="282">
        <f t="shared" si="21"/>
        <v>2271.1560053880116</v>
      </c>
      <c r="E318" s="282">
        <f t="shared" si="22"/>
        <v>488.81570266844255</v>
      </c>
      <c r="F318" s="282">
        <f t="shared" si="23"/>
        <v>1782.3403027195691</v>
      </c>
      <c r="G318" s="282">
        <f t="shared" si="24"/>
        <v>104868.35846130426</v>
      </c>
    </row>
    <row r="319" spans="1:7" x14ac:dyDescent="0.3">
      <c r="A319" s="142">
        <v>309</v>
      </c>
      <c r="B319" s="252">
        <v>51135</v>
      </c>
      <c r="C319" s="282">
        <f t="shared" si="20"/>
        <v>104868.35846130426</v>
      </c>
      <c r="D319" s="282">
        <f t="shared" si="21"/>
        <v>2271.1560053880116</v>
      </c>
      <c r="E319" s="282">
        <f t="shared" si="22"/>
        <v>480.64664294764452</v>
      </c>
      <c r="F319" s="282">
        <f t="shared" si="23"/>
        <v>1790.5093624403671</v>
      </c>
      <c r="G319" s="282">
        <f t="shared" si="24"/>
        <v>103077.8490988639</v>
      </c>
    </row>
    <row r="320" spans="1:7" x14ac:dyDescent="0.3">
      <c r="A320" s="142">
        <v>310</v>
      </c>
      <c r="B320" s="252">
        <v>51166</v>
      </c>
      <c r="C320" s="282">
        <f t="shared" si="20"/>
        <v>103077.8490988639</v>
      </c>
      <c r="D320" s="282">
        <f t="shared" si="21"/>
        <v>2271.1560053880116</v>
      </c>
      <c r="E320" s="282">
        <f t="shared" si="22"/>
        <v>472.44014170312624</v>
      </c>
      <c r="F320" s="282">
        <f t="shared" si="23"/>
        <v>1798.7158636848853</v>
      </c>
      <c r="G320" s="282">
        <f t="shared" si="24"/>
        <v>101279.133235179</v>
      </c>
    </row>
    <row r="321" spans="1:7" x14ac:dyDescent="0.3">
      <c r="A321" s="142">
        <v>311</v>
      </c>
      <c r="B321" s="252">
        <v>51195</v>
      </c>
      <c r="C321" s="282">
        <f t="shared" si="20"/>
        <v>101279.133235179</v>
      </c>
      <c r="D321" s="282">
        <f t="shared" si="21"/>
        <v>2271.1560053880116</v>
      </c>
      <c r="E321" s="282">
        <f t="shared" si="22"/>
        <v>464.19602732790378</v>
      </c>
      <c r="F321" s="282">
        <f t="shared" si="23"/>
        <v>1806.9599780601079</v>
      </c>
      <c r="G321" s="282">
        <f t="shared" si="24"/>
        <v>99472.173257118891</v>
      </c>
    </row>
    <row r="322" spans="1:7" x14ac:dyDescent="0.3">
      <c r="A322" s="142">
        <v>312</v>
      </c>
      <c r="B322" s="252">
        <v>51226</v>
      </c>
      <c r="C322" s="282">
        <f t="shared" si="20"/>
        <v>99472.173257118891</v>
      </c>
      <c r="D322" s="282">
        <f t="shared" si="21"/>
        <v>2271.1560053880116</v>
      </c>
      <c r="E322" s="282">
        <f t="shared" si="22"/>
        <v>455.9141274284616</v>
      </c>
      <c r="F322" s="282">
        <f t="shared" si="23"/>
        <v>1815.24187795955</v>
      </c>
      <c r="G322" s="282">
        <f t="shared" si="24"/>
        <v>97656.931379159345</v>
      </c>
    </row>
    <row r="323" spans="1:7" x14ac:dyDescent="0.3">
      <c r="A323" s="142">
        <v>313</v>
      </c>
      <c r="B323" s="252">
        <v>51256</v>
      </c>
      <c r="C323" s="282">
        <f t="shared" si="20"/>
        <v>97656.931379159345</v>
      </c>
      <c r="D323" s="282">
        <f t="shared" si="21"/>
        <v>2271.1560053880116</v>
      </c>
      <c r="E323" s="282">
        <f t="shared" si="22"/>
        <v>447.59426882114695</v>
      </c>
      <c r="F323" s="282">
        <f t="shared" si="23"/>
        <v>1823.5617365668647</v>
      </c>
      <c r="G323" s="282">
        <f t="shared" si="24"/>
        <v>95833.369642592486</v>
      </c>
    </row>
    <row r="324" spans="1:7" x14ac:dyDescent="0.3">
      <c r="A324" s="142">
        <v>314</v>
      </c>
      <c r="B324" s="252">
        <v>51287</v>
      </c>
      <c r="C324" s="282">
        <f t="shared" si="20"/>
        <v>95833.369642592486</v>
      </c>
      <c r="D324" s="282">
        <f t="shared" si="21"/>
        <v>2271.1560053880116</v>
      </c>
      <c r="E324" s="282">
        <f t="shared" si="22"/>
        <v>439.2362775285489</v>
      </c>
      <c r="F324" s="282">
        <f t="shared" si="23"/>
        <v>1831.9197278594627</v>
      </c>
      <c r="G324" s="282">
        <f t="shared" si="24"/>
        <v>94001.449914733021</v>
      </c>
    </row>
    <row r="325" spans="1:7" x14ac:dyDescent="0.3">
      <c r="A325" s="142">
        <v>315</v>
      </c>
      <c r="B325" s="252">
        <v>51317</v>
      </c>
      <c r="C325" s="282">
        <f t="shared" si="20"/>
        <v>94001.449914733021</v>
      </c>
      <c r="D325" s="282">
        <f t="shared" si="21"/>
        <v>2271.1560053880116</v>
      </c>
      <c r="E325" s="282">
        <f t="shared" si="22"/>
        <v>430.83997877585966</v>
      </c>
      <c r="F325" s="282">
        <f t="shared" si="23"/>
        <v>1840.316026612152</v>
      </c>
      <c r="G325" s="282">
        <f t="shared" si="24"/>
        <v>92161.133888120865</v>
      </c>
    </row>
    <row r="326" spans="1:7" x14ac:dyDescent="0.3">
      <c r="A326" s="142">
        <v>316</v>
      </c>
      <c r="B326" s="252">
        <v>51348</v>
      </c>
      <c r="C326" s="282">
        <f t="shared" si="20"/>
        <v>92161.133888120865</v>
      </c>
      <c r="D326" s="282">
        <f t="shared" si="21"/>
        <v>2271.1560053880116</v>
      </c>
      <c r="E326" s="282">
        <f t="shared" si="22"/>
        <v>422.40519698722068</v>
      </c>
      <c r="F326" s="282">
        <f t="shared" si="23"/>
        <v>1848.7508084007909</v>
      </c>
      <c r="G326" s="282">
        <f t="shared" si="24"/>
        <v>90312.383079720079</v>
      </c>
    </row>
    <row r="327" spans="1:7" x14ac:dyDescent="0.3">
      <c r="A327" s="142">
        <v>317</v>
      </c>
      <c r="B327" s="252">
        <v>51379</v>
      </c>
      <c r="C327" s="282">
        <f t="shared" si="20"/>
        <v>90312.383079720079</v>
      </c>
      <c r="D327" s="282">
        <f t="shared" si="21"/>
        <v>2271.1560053880116</v>
      </c>
      <c r="E327" s="282">
        <f t="shared" si="22"/>
        <v>413.9317557820504</v>
      </c>
      <c r="F327" s="282">
        <f t="shared" si="23"/>
        <v>1857.2242496059612</v>
      </c>
      <c r="G327" s="282">
        <f t="shared" si="24"/>
        <v>88455.158830114116</v>
      </c>
    </row>
    <row r="328" spans="1:7" x14ac:dyDescent="0.3">
      <c r="A328" s="142">
        <v>318</v>
      </c>
      <c r="B328" s="252">
        <v>51409</v>
      </c>
      <c r="C328" s="282">
        <f t="shared" si="20"/>
        <v>88455.158830114116</v>
      </c>
      <c r="D328" s="282">
        <f t="shared" si="21"/>
        <v>2271.1560053880116</v>
      </c>
      <c r="E328" s="282">
        <f t="shared" si="22"/>
        <v>405.4194779713564</v>
      </c>
      <c r="F328" s="282">
        <f t="shared" si="23"/>
        <v>1865.7365274166552</v>
      </c>
      <c r="G328" s="282">
        <f t="shared" si="24"/>
        <v>86589.422302697465</v>
      </c>
    </row>
    <row r="329" spans="1:7" x14ac:dyDescent="0.3">
      <c r="A329" s="142">
        <v>319</v>
      </c>
      <c r="B329" s="252">
        <v>51440</v>
      </c>
      <c r="C329" s="282">
        <f t="shared" si="20"/>
        <v>86589.422302697465</v>
      </c>
      <c r="D329" s="282">
        <f t="shared" si="21"/>
        <v>2271.1560053880116</v>
      </c>
      <c r="E329" s="282">
        <f t="shared" si="22"/>
        <v>396.86818555403005</v>
      </c>
      <c r="F329" s="282">
        <f t="shared" si="23"/>
        <v>1874.2878198339815</v>
      </c>
      <c r="G329" s="282">
        <f t="shared" si="24"/>
        <v>84715.13448286349</v>
      </c>
    </row>
    <row r="330" spans="1:7" x14ac:dyDescent="0.3">
      <c r="A330" s="142">
        <v>320</v>
      </c>
      <c r="B330" s="252">
        <v>51470</v>
      </c>
      <c r="C330" s="282">
        <f t="shared" si="20"/>
        <v>84715.13448286349</v>
      </c>
      <c r="D330" s="282">
        <f t="shared" si="21"/>
        <v>2271.1560053880116</v>
      </c>
      <c r="E330" s="282">
        <f t="shared" si="22"/>
        <v>388.27769971312432</v>
      </c>
      <c r="F330" s="282">
        <f t="shared" si="23"/>
        <v>1882.8783056748873</v>
      </c>
      <c r="G330" s="282">
        <f t="shared" si="24"/>
        <v>82832.256177188596</v>
      </c>
    </row>
    <row r="331" spans="1:7" x14ac:dyDescent="0.3">
      <c r="A331" s="142">
        <v>321</v>
      </c>
      <c r="B331" s="252">
        <v>51501</v>
      </c>
      <c r="C331" s="282">
        <f t="shared" si="20"/>
        <v>82832.256177188596</v>
      </c>
      <c r="D331" s="282">
        <f t="shared" si="21"/>
        <v>2271.1560053880116</v>
      </c>
      <c r="E331" s="282">
        <f t="shared" si="22"/>
        <v>379.64784081211445</v>
      </c>
      <c r="F331" s="282">
        <f t="shared" si="23"/>
        <v>1891.5081645758971</v>
      </c>
      <c r="G331" s="282">
        <f t="shared" si="24"/>
        <v>80940.748012612705</v>
      </c>
    </row>
    <row r="332" spans="1:7" x14ac:dyDescent="0.3">
      <c r="A332" s="142">
        <v>322</v>
      </c>
      <c r="B332" s="252">
        <v>51532</v>
      </c>
      <c r="C332" s="282">
        <f t="shared" si="20"/>
        <v>80940.748012612705</v>
      </c>
      <c r="D332" s="282">
        <f t="shared" si="21"/>
        <v>2271.1560053880116</v>
      </c>
      <c r="E332" s="282">
        <f t="shared" si="22"/>
        <v>370.97842839114156</v>
      </c>
      <c r="F332" s="282">
        <f t="shared" si="23"/>
        <v>1900.1775769968701</v>
      </c>
      <c r="G332" s="282">
        <f t="shared" si="24"/>
        <v>79040.570435615839</v>
      </c>
    </row>
    <row r="333" spans="1:7" x14ac:dyDescent="0.3">
      <c r="A333" s="142">
        <v>323</v>
      </c>
      <c r="B333" s="252">
        <v>51560</v>
      </c>
      <c r="C333" s="282">
        <f t="shared" ref="C333:C370" si="25">G332</f>
        <v>79040.570435615839</v>
      </c>
      <c r="D333" s="282">
        <f t="shared" ref="D333:D370" si="26">$B$7</f>
        <v>2271.1560053880116</v>
      </c>
      <c r="E333" s="282">
        <f t="shared" ref="E333:E370" si="27">C333*$B$4/12</f>
        <v>362.26928116323921</v>
      </c>
      <c r="F333" s="282">
        <f t="shared" ref="F333:F370" si="28">D333-E333</f>
        <v>1908.8867242247725</v>
      </c>
      <c r="G333" s="282">
        <f t="shared" ref="G333:G370" si="29">C333-F333</f>
        <v>77131.683711391059</v>
      </c>
    </row>
    <row r="334" spans="1:7" x14ac:dyDescent="0.3">
      <c r="A334" s="142">
        <v>324</v>
      </c>
      <c r="B334" s="252">
        <v>51591</v>
      </c>
      <c r="C334" s="282">
        <f t="shared" si="25"/>
        <v>77131.683711391059</v>
      </c>
      <c r="D334" s="282">
        <f t="shared" si="26"/>
        <v>2271.1560053880116</v>
      </c>
      <c r="E334" s="282">
        <f t="shared" si="27"/>
        <v>353.52021701054235</v>
      </c>
      <c r="F334" s="282">
        <f t="shared" si="28"/>
        <v>1917.6357883774692</v>
      </c>
      <c r="G334" s="282">
        <f t="shared" si="29"/>
        <v>75214.047923013582</v>
      </c>
    </row>
    <row r="335" spans="1:7" x14ac:dyDescent="0.3">
      <c r="A335" s="142">
        <v>325</v>
      </c>
      <c r="B335" s="252">
        <v>51621</v>
      </c>
      <c r="C335" s="282">
        <f t="shared" si="25"/>
        <v>75214.047923013582</v>
      </c>
      <c r="D335" s="282">
        <f t="shared" si="26"/>
        <v>2271.1560053880116</v>
      </c>
      <c r="E335" s="282">
        <f t="shared" si="27"/>
        <v>344.73105298047898</v>
      </c>
      <c r="F335" s="282">
        <f t="shared" si="28"/>
        <v>1926.4249524075326</v>
      </c>
      <c r="G335" s="282">
        <f t="shared" si="29"/>
        <v>73287.622970606055</v>
      </c>
    </row>
    <row r="336" spans="1:7" x14ac:dyDescent="0.3">
      <c r="A336" s="142">
        <v>326</v>
      </c>
      <c r="B336" s="252">
        <v>51652</v>
      </c>
      <c r="C336" s="282">
        <f t="shared" si="25"/>
        <v>73287.622970606055</v>
      </c>
      <c r="D336" s="282">
        <f t="shared" si="26"/>
        <v>2271.1560053880116</v>
      </c>
      <c r="E336" s="282">
        <f t="shared" si="27"/>
        <v>335.90160528194446</v>
      </c>
      <c r="F336" s="282">
        <f t="shared" si="28"/>
        <v>1935.2544001060671</v>
      </c>
      <c r="G336" s="282">
        <f t="shared" si="29"/>
        <v>71352.368570499981</v>
      </c>
    </row>
    <row r="337" spans="1:7" x14ac:dyDescent="0.3">
      <c r="A337" s="142">
        <v>327</v>
      </c>
      <c r="B337" s="252">
        <v>51682</v>
      </c>
      <c r="C337" s="282">
        <f t="shared" si="25"/>
        <v>71352.368570499981</v>
      </c>
      <c r="D337" s="282">
        <f t="shared" si="26"/>
        <v>2271.1560053880116</v>
      </c>
      <c r="E337" s="282">
        <f t="shared" si="27"/>
        <v>327.03168928145823</v>
      </c>
      <c r="F337" s="282">
        <f t="shared" si="28"/>
        <v>1944.1243161065534</v>
      </c>
      <c r="G337" s="282">
        <f t="shared" si="29"/>
        <v>69408.24425439343</v>
      </c>
    </row>
    <row r="338" spans="1:7" x14ac:dyDescent="0.3">
      <c r="A338" s="142">
        <v>328</v>
      </c>
      <c r="B338" s="252">
        <v>51713</v>
      </c>
      <c r="C338" s="282">
        <f t="shared" si="25"/>
        <v>69408.24425439343</v>
      </c>
      <c r="D338" s="282">
        <f t="shared" si="26"/>
        <v>2271.1560053880116</v>
      </c>
      <c r="E338" s="282">
        <f t="shared" si="27"/>
        <v>318.12111949930323</v>
      </c>
      <c r="F338" s="282">
        <f t="shared" si="28"/>
        <v>1953.0348858887085</v>
      </c>
      <c r="G338" s="282">
        <f t="shared" si="29"/>
        <v>67455.209368504715</v>
      </c>
    </row>
    <row r="339" spans="1:7" x14ac:dyDescent="0.3">
      <c r="A339" s="142">
        <v>329</v>
      </c>
      <c r="B339" s="252">
        <v>51744</v>
      </c>
      <c r="C339" s="282">
        <f t="shared" si="25"/>
        <v>67455.209368504715</v>
      </c>
      <c r="D339" s="282">
        <f t="shared" si="26"/>
        <v>2271.1560053880116</v>
      </c>
      <c r="E339" s="282">
        <f t="shared" si="27"/>
        <v>309.16970960564657</v>
      </c>
      <c r="F339" s="282">
        <f t="shared" si="28"/>
        <v>1961.986295782365</v>
      </c>
      <c r="G339" s="282">
        <f t="shared" si="29"/>
        <v>65493.22307272235</v>
      </c>
    </row>
    <row r="340" spans="1:7" x14ac:dyDescent="0.3">
      <c r="A340" s="142">
        <v>330</v>
      </c>
      <c r="B340" s="252">
        <v>51774</v>
      </c>
      <c r="C340" s="282">
        <f t="shared" si="25"/>
        <v>65493.22307272235</v>
      </c>
      <c r="D340" s="282">
        <f t="shared" si="26"/>
        <v>2271.1560053880116</v>
      </c>
      <c r="E340" s="282">
        <f t="shared" si="27"/>
        <v>300.17727241664414</v>
      </c>
      <c r="F340" s="282">
        <f t="shared" si="28"/>
        <v>1970.9787329713674</v>
      </c>
      <c r="G340" s="282">
        <f t="shared" si="29"/>
        <v>63522.244339750985</v>
      </c>
    </row>
    <row r="341" spans="1:7" x14ac:dyDescent="0.3">
      <c r="A341" s="142">
        <v>331</v>
      </c>
      <c r="B341" s="252">
        <v>51805</v>
      </c>
      <c r="C341" s="282">
        <f t="shared" si="25"/>
        <v>63522.244339750985</v>
      </c>
      <c r="D341" s="282">
        <f t="shared" si="26"/>
        <v>2271.1560053880116</v>
      </c>
      <c r="E341" s="282">
        <f t="shared" si="27"/>
        <v>291.14361989052537</v>
      </c>
      <c r="F341" s="282">
        <f t="shared" si="28"/>
        <v>1980.0123854974863</v>
      </c>
      <c r="G341" s="282">
        <f t="shared" si="29"/>
        <v>61542.231954253497</v>
      </c>
    </row>
    <row r="342" spans="1:7" x14ac:dyDescent="0.3">
      <c r="A342" s="142">
        <v>332</v>
      </c>
      <c r="B342" s="252">
        <v>51835</v>
      </c>
      <c r="C342" s="282">
        <f t="shared" si="25"/>
        <v>61542.231954253497</v>
      </c>
      <c r="D342" s="282">
        <f t="shared" si="26"/>
        <v>2271.1560053880116</v>
      </c>
      <c r="E342" s="282">
        <f t="shared" si="27"/>
        <v>282.06856312366187</v>
      </c>
      <c r="F342" s="282">
        <f t="shared" si="28"/>
        <v>1989.0874422643496</v>
      </c>
      <c r="G342" s="282">
        <f t="shared" si="29"/>
        <v>59553.14451198915</v>
      </c>
    </row>
    <row r="343" spans="1:7" x14ac:dyDescent="0.3">
      <c r="A343" s="142">
        <v>333</v>
      </c>
      <c r="B343" s="252">
        <v>51866</v>
      </c>
      <c r="C343" s="282">
        <f t="shared" si="25"/>
        <v>59553.14451198915</v>
      </c>
      <c r="D343" s="282">
        <f t="shared" si="26"/>
        <v>2271.1560053880116</v>
      </c>
      <c r="E343" s="282">
        <f t="shared" si="27"/>
        <v>272.95191234661695</v>
      </c>
      <c r="F343" s="282">
        <f t="shared" si="28"/>
        <v>1998.2040930413946</v>
      </c>
      <c r="G343" s="282">
        <f t="shared" si="29"/>
        <v>57554.940418947757</v>
      </c>
    </row>
    <row r="344" spans="1:7" x14ac:dyDescent="0.3">
      <c r="A344" s="142">
        <v>334</v>
      </c>
      <c r="B344" s="252">
        <v>51897</v>
      </c>
      <c r="C344" s="282">
        <f t="shared" si="25"/>
        <v>57554.940418947757</v>
      </c>
      <c r="D344" s="282">
        <f t="shared" si="26"/>
        <v>2271.1560053880116</v>
      </c>
      <c r="E344" s="282">
        <f t="shared" si="27"/>
        <v>263.79347692017723</v>
      </c>
      <c r="F344" s="282">
        <f t="shared" si="28"/>
        <v>2007.3625284678344</v>
      </c>
      <c r="G344" s="282">
        <f t="shared" si="29"/>
        <v>55547.577890479923</v>
      </c>
    </row>
    <row r="345" spans="1:7" x14ac:dyDescent="0.3">
      <c r="A345" s="142">
        <v>335</v>
      </c>
      <c r="B345" s="252">
        <v>51925</v>
      </c>
      <c r="C345" s="282">
        <f t="shared" si="25"/>
        <v>55547.577890479923</v>
      </c>
      <c r="D345" s="282">
        <f t="shared" si="26"/>
        <v>2271.1560053880116</v>
      </c>
      <c r="E345" s="282">
        <f t="shared" si="27"/>
        <v>254.59306533136632</v>
      </c>
      <c r="F345" s="282">
        <f t="shared" si="28"/>
        <v>2016.5629400566454</v>
      </c>
      <c r="G345" s="282">
        <f t="shared" si="29"/>
        <v>53531.014950423276</v>
      </c>
    </row>
    <row r="346" spans="1:7" x14ac:dyDescent="0.3">
      <c r="A346" s="142">
        <v>336</v>
      </c>
      <c r="B346" s="252">
        <v>51956</v>
      </c>
      <c r="C346" s="282">
        <f t="shared" si="25"/>
        <v>53531.014950423276</v>
      </c>
      <c r="D346" s="282">
        <f t="shared" si="26"/>
        <v>2271.1560053880116</v>
      </c>
      <c r="E346" s="282">
        <f t="shared" si="27"/>
        <v>245.35048518944004</v>
      </c>
      <c r="F346" s="282">
        <f t="shared" si="28"/>
        <v>2025.8055201985717</v>
      </c>
      <c r="G346" s="282">
        <f t="shared" si="29"/>
        <v>51505.209430224706</v>
      </c>
    </row>
    <row r="347" spans="1:7" x14ac:dyDescent="0.3">
      <c r="A347" s="142">
        <v>337</v>
      </c>
      <c r="B347" s="252">
        <v>51986</v>
      </c>
      <c r="C347" s="282">
        <f t="shared" si="25"/>
        <v>51505.209430224706</v>
      </c>
      <c r="D347" s="282">
        <f t="shared" si="26"/>
        <v>2271.1560053880116</v>
      </c>
      <c r="E347" s="282">
        <f t="shared" si="27"/>
        <v>236.06554322186324</v>
      </c>
      <c r="F347" s="282">
        <f t="shared" si="28"/>
        <v>2035.0904621661484</v>
      </c>
      <c r="G347" s="282">
        <f t="shared" si="29"/>
        <v>49470.118968058559</v>
      </c>
    </row>
    <row r="348" spans="1:7" x14ac:dyDescent="0.3">
      <c r="A348" s="142">
        <v>338</v>
      </c>
      <c r="B348" s="252">
        <v>52017</v>
      </c>
      <c r="C348" s="282">
        <f t="shared" si="25"/>
        <v>49470.118968058559</v>
      </c>
      <c r="D348" s="282">
        <f t="shared" si="26"/>
        <v>2271.1560053880116</v>
      </c>
      <c r="E348" s="282">
        <f t="shared" si="27"/>
        <v>226.73804527026837</v>
      </c>
      <c r="F348" s="282">
        <f t="shared" si="28"/>
        <v>2044.4179601177432</v>
      </c>
      <c r="G348" s="282">
        <f t="shared" si="29"/>
        <v>47425.701007940814</v>
      </c>
    </row>
    <row r="349" spans="1:7" x14ac:dyDescent="0.3">
      <c r="A349" s="142">
        <v>339</v>
      </c>
      <c r="B349" s="252">
        <v>52047</v>
      </c>
      <c r="C349" s="282">
        <f t="shared" si="25"/>
        <v>47425.701007940814</v>
      </c>
      <c r="D349" s="282">
        <f t="shared" si="26"/>
        <v>2271.1560053880116</v>
      </c>
      <c r="E349" s="282">
        <f t="shared" si="27"/>
        <v>217.36779628639542</v>
      </c>
      <c r="F349" s="282">
        <f t="shared" si="28"/>
        <v>2053.7882091016163</v>
      </c>
      <c r="G349" s="282">
        <f t="shared" si="29"/>
        <v>45371.912798839199</v>
      </c>
    </row>
    <row r="350" spans="1:7" x14ac:dyDescent="0.3">
      <c r="A350" s="142">
        <v>340</v>
      </c>
      <c r="B350" s="252">
        <v>52078</v>
      </c>
      <c r="C350" s="282">
        <f t="shared" si="25"/>
        <v>45371.912798839199</v>
      </c>
      <c r="D350" s="282">
        <f t="shared" si="26"/>
        <v>2271.1560053880116</v>
      </c>
      <c r="E350" s="282">
        <f t="shared" si="27"/>
        <v>207.95460032801302</v>
      </c>
      <c r="F350" s="282">
        <f t="shared" si="28"/>
        <v>2063.2014050599987</v>
      </c>
      <c r="G350" s="282">
        <f t="shared" si="29"/>
        <v>43308.711393779202</v>
      </c>
    </row>
    <row r="351" spans="1:7" x14ac:dyDescent="0.3">
      <c r="A351" s="142">
        <v>341</v>
      </c>
      <c r="B351" s="252">
        <v>52109</v>
      </c>
      <c r="C351" s="282">
        <f t="shared" si="25"/>
        <v>43308.711393779202</v>
      </c>
      <c r="D351" s="282">
        <f t="shared" si="26"/>
        <v>2271.1560053880116</v>
      </c>
      <c r="E351" s="282">
        <f t="shared" si="27"/>
        <v>198.49826055482137</v>
      </c>
      <c r="F351" s="282">
        <f t="shared" si="28"/>
        <v>2072.6577448331905</v>
      </c>
      <c r="G351" s="282">
        <f t="shared" si="29"/>
        <v>41236.053648946014</v>
      </c>
    </row>
    <row r="352" spans="1:7" x14ac:dyDescent="0.3">
      <c r="A352" s="142">
        <v>342</v>
      </c>
      <c r="B352" s="252">
        <v>52139</v>
      </c>
      <c r="C352" s="282">
        <f t="shared" si="25"/>
        <v>41236.053648946014</v>
      </c>
      <c r="D352" s="282">
        <f t="shared" si="26"/>
        <v>2271.1560053880116</v>
      </c>
      <c r="E352" s="282">
        <f t="shared" si="27"/>
        <v>188.99857922433591</v>
      </c>
      <c r="F352" s="282">
        <f t="shared" si="28"/>
        <v>2082.1574261636756</v>
      </c>
      <c r="G352" s="282">
        <f t="shared" si="29"/>
        <v>39153.896222782336</v>
      </c>
    </row>
    <row r="353" spans="1:7" x14ac:dyDescent="0.3">
      <c r="A353" s="142">
        <v>343</v>
      </c>
      <c r="B353" s="252">
        <v>52170</v>
      </c>
      <c r="C353" s="282">
        <f t="shared" si="25"/>
        <v>39153.896222782336</v>
      </c>
      <c r="D353" s="282">
        <f t="shared" si="26"/>
        <v>2271.1560053880116</v>
      </c>
      <c r="E353" s="282">
        <f t="shared" si="27"/>
        <v>179.45535768775235</v>
      </c>
      <c r="F353" s="282">
        <f t="shared" si="28"/>
        <v>2091.7006477002592</v>
      </c>
      <c r="G353" s="282">
        <f t="shared" si="29"/>
        <v>37062.195575082078</v>
      </c>
    </row>
    <row r="354" spans="1:7" x14ac:dyDescent="0.3">
      <c r="A354" s="142">
        <v>344</v>
      </c>
      <c r="B354" s="252">
        <v>52200</v>
      </c>
      <c r="C354" s="282">
        <f t="shared" si="25"/>
        <v>37062.195575082078</v>
      </c>
      <c r="D354" s="282">
        <f t="shared" si="26"/>
        <v>2271.1560053880116</v>
      </c>
      <c r="E354" s="282">
        <f t="shared" si="27"/>
        <v>169.86839638579286</v>
      </c>
      <c r="F354" s="282">
        <f t="shared" si="28"/>
        <v>2101.2876090022187</v>
      </c>
      <c r="G354" s="282">
        <f t="shared" si="29"/>
        <v>34960.90796607986</v>
      </c>
    </row>
    <row r="355" spans="1:7" x14ac:dyDescent="0.3">
      <c r="A355" s="142">
        <v>345</v>
      </c>
      <c r="B355" s="252">
        <v>52231</v>
      </c>
      <c r="C355" s="282">
        <f t="shared" si="25"/>
        <v>34960.90796607986</v>
      </c>
      <c r="D355" s="282">
        <f t="shared" si="26"/>
        <v>2271.1560053880116</v>
      </c>
      <c r="E355" s="282">
        <f t="shared" si="27"/>
        <v>160.23749484453268</v>
      </c>
      <c r="F355" s="282">
        <f t="shared" si="28"/>
        <v>2110.918510543479</v>
      </c>
      <c r="G355" s="282">
        <f t="shared" si="29"/>
        <v>32849.989455536379</v>
      </c>
    </row>
    <row r="356" spans="1:7" x14ac:dyDescent="0.3">
      <c r="A356" s="142">
        <v>346</v>
      </c>
      <c r="B356" s="252">
        <v>52262</v>
      </c>
      <c r="C356" s="282">
        <f t="shared" si="25"/>
        <v>32849.989455536379</v>
      </c>
      <c r="D356" s="282">
        <f t="shared" si="26"/>
        <v>2271.1560053880116</v>
      </c>
      <c r="E356" s="282">
        <f t="shared" si="27"/>
        <v>150.56245167120841</v>
      </c>
      <c r="F356" s="282">
        <f t="shared" si="28"/>
        <v>2120.5935537168034</v>
      </c>
      <c r="G356" s="282">
        <f t="shared" si="29"/>
        <v>30729.395901819575</v>
      </c>
    </row>
    <row r="357" spans="1:7" x14ac:dyDescent="0.3">
      <c r="A357" s="142">
        <v>347</v>
      </c>
      <c r="B357" s="252">
        <v>52290</v>
      </c>
      <c r="C357" s="282">
        <f t="shared" si="25"/>
        <v>30729.395901819575</v>
      </c>
      <c r="D357" s="282">
        <f t="shared" si="26"/>
        <v>2271.1560053880116</v>
      </c>
      <c r="E357" s="282">
        <f t="shared" si="27"/>
        <v>140.8430645500064</v>
      </c>
      <c r="F357" s="282">
        <f t="shared" si="28"/>
        <v>2130.312940838005</v>
      </c>
      <c r="G357" s="282">
        <f t="shared" si="29"/>
        <v>28599.08296098157</v>
      </c>
    </row>
    <row r="358" spans="1:7" x14ac:dyDescent="0.3">
      <c r="A358" s="142">
        <v>348</v>
      </c>
      <c r="B358" s="252">
        <v>52321</v>
      </c>
      <c r="C358" s="282">
        <f t="shared" si="25"/>
        <v>28599.08296098157</v>
      </c>
      <c r="D358" s="282">
        <f t="shared" si="26"/>
        <v>2271.1560053880116</v>
      </c>
      <c r="E358" s="282">
        <f t="shared" si="27"/>
        <v>131.0791302378322</v>
      </c>
      <c r="F358" s="282">
        <f t="shared" si="28"/>
        <v>2140.0768751501796</v>
      </c>
      <c r="G358" s="282">
        <f t="shared" si="29"/>
        <v>26459.006085831392</v>
      </c>
    </row>
    <row r="359" spans="1:7" x14ac:dyDescent="0.3">
      <c r="A359" s="142">
        <v>349</v>
      </c>
      <c r="B359" s="252">
        <v>52351</v>
      </c>
      <c r="C359" s="282">
        <f t="shared" si="25"/>
        <v>26459.006085831392</v>
      </c>
      <c r="D359" s="282">
        <f t="shared" si="26"/>
        <v>2271.1560053880116</v>
      </c>
      <c r="E359" s="282">
        <f t="shared" si="27"/>
        <v>121.27044456006054</v>
      </c>
      <c r="F359" s="282">
        <f t="shared" si="28"/>
        <v>2149.8855608279509</v>
      </c>
      <c r="G359" s="282">
        <f t="shared" si="29"/>
        <v>24309.12052500344</v>
      </c>
    </row>
    <row r="360" spans="1:7" x14ac:dyDescent="0.3">
      <c r="A360" s="142">
        <v>350</v>
      </c>
      <c r="B360" s="252">
        <v>52382</v>
      </c>
      <c r="C360" s="282">
        <f t="shared" si="25"/>
        <v>24309.12052500344</v>
      </c>
      <c r="D360" s="282">
        <f t="shared" si="26"/>
        <v>2271.1560053880116</v>
      </c>
      <c r="E360" s="282">
        <f t="shared" si="27"/>
        <v>111.41680240626577</v>
      </c>
      <c r="F360" s="282">
        <f t="shared" si="28"/>
        <v>2159.7392029817461</v>
      </c>
      <c r="G360" s="282">
        <f t="shared" si="29"/>
        <v>22149.381322021694</v>
      </c>
    </row>
    <row r="361" spans="1:7" x14ac:dyDescent="0.3">
      <c r="A361" s="142">
        <v>351</v>
      </c>
      <c r="B361" s="252">
        <v>52412</v>
      </c>
      <c r="C361" s="282">
        <f t="shared" si="25"/>
        <v>22149.381322021694</v>
      </c>
      <c r="D361" s="282">
        <f t="shared" si="26"/>
        <v>2271.1560053880116</v>
      </c>
      <c r="E361" s="282">
        <f t="shared" si="27"/>
        <v>101.51799772593277</v>
      </c>
      <c r="F361" s="282">
        <f t="shared" si="28"/>
        <v>2169.638007662079</v>
      </c>
      <c r="G361" s="282">
        <f t="shared" si="29"/>
        <v>19979.743314359614</v>
      </c>
    </row>
    <row r="362" spans="1:7" x14ac:dyDescent="0.3">
      <c r="A362" s="142">
        <v>352</v>
      </c>
      <c r="B362" s="252">
        <v>52443</v>
      </c>
      <c r="C362" s="282">
        <f t="shared" si="25"/>
        <v>19979.743314359614</v>
      </c>
      <c r="D362" s="282">
        <f t="shared" si="26"/>
        <v>2271.1560053880116</v>
      </c>
      <c r="E362" s="282">
        <f t="shared" si="27"/>
        <v>91.573823524148224</v>
      </c>
      <c r="F362" s="282">
        <f t="shared" si="28"/>
        <v>2179.5821818638633</v>
      </c>
      <c r="G362" s="282">
        <f t="shared" si="29"/>
        <v>17800.161132495748</v>
      </c>
    </row>
    <row r="363" spans="1:7" x14ac:dyDescent="0.3">
      <c r="A363" s="142">
        <v>353</v>
      </c>
      <c r="B363" s="252">
        <v>52474</v>
      </c>
      <c r="C363" s="282">
        <f t="shared" si="25"/>
        <v>17800.161132495748</v>
      </c>
      <c r="D363" s="282">
        <f t="shared" si="26"/>
        <v>2271.1560053880116</v>
      </c>
      <c r="E363" s="282">
        <f t="shared" si="27"/>
        <v>81.584071857272178</v>
      </c>
      <c r="F363" s="282">
        <f t="shared" si="28"/>
        <v>2189.5719335307394</v>
      </c>
      <c r="G363" s="282">
        <f t="shared" si="29"/>
        <v>15610.589198965008</v>
      </c>
    </row>
    <row r="364" spans="1:7" x14ac:dyDescent="0.3">
      <c r="A364" s="142">
        <v>354</v>
      </c>
      <c r="B364" s="252">
        <v>52504</v>
      </c>
      <c r="C364" s="282">
        <f t="shared" si="25"/>
        <v>15610.589198965008</v>
      </c>
      <c r="D364" s="282">
        <f t="shared" si="26"/>
        <v>2271.1560053880116</v>
      </c>
      <c r="E364" s="282">
        <f t="shared" si="27"/>
        <v>71.548533828589612</v>
      </c>
      <c r="F364" s="282">
        <f t="shared" si="28"/>
        <v>2199.6074715594218</v>
      </c>
      <c r="G364" s="282">
        <f t="shared" si="29"/>
        <v>13410.981727405586</v>
      </c>
    </row>
    <row r="365" spans="1:7" x14ac:dyDescent="0.3">
      <c r="A365" s="142">
        <v>355</v>
      </c>
      <c r="B365" s="252">
        <v>52535</v>
      </c>
      <c r="C365" s="282">
        <f t="shared" si="25"/>
        <v>13410.981727405586</v>
      </c>
      <c r="D365" s="282">
        <f t="shared" si="26"/>
        <v>2271.1560053880116</v>
      </c>
      <c r="E365" s="282">
        <f t="shared" si="27"/>
        <v>61.466999583942275</v>
      </c>
      <c r="F365" s="282">
        <f t="shared" si="28"/>
        <v>2209.6890058040694</v>
      </c>
      <c r="G365" s="282">
        <f t="shared" si="29"/>
        <v>11201.292721601516</v>
      </c>
    </row>
    <row r="366" spans="1:7" x14ac:dyDescent="0.3">
      <c r="A366" s="142">
        <v>356</v>
      </c>
      <c r="B366" s="252">
        <v>52565</v>
      </c>
      <c r="C366" s="282">
        <f t="shared" si="25"/>
        <v>11201.292721601516</v>
      </c>
      <c r="D366" s="282">
        <f t="shared" si="26"/>
        <v>2271.1560053880116</v>
      </c>
      <c r="E366" s="282">
        <f t="shared" si="27"/>
        <v>51.33925830734028</v>
      </c>
      <c r="F366" s="282">
        <f t="shared" si="28"/>
        <v>2219.8167470806716</v>
      </c>
      <c r="G366" s="282">
        <f t="shared" si="29"/>
        <v>8981.4759745208448</v>
      </c>
    </row>
    <row r="367" spans="1:7" x14ac:dyDescent="0.3">
      <c r="A367" s="142">
        <v>357</v>
      </c>
      <c r="B367" s="252">
        <v>52596</v>
      </c>
      <c r="C367" s="282">
        <f t="shared" si="25"/>
        <v>8981.4759745208448</v>
      </c>
      <c r="D367" s="282">
        <f t="shared" si="26"/>
        <v>2271.1560053880116</v>
      </c>
      <c r="E367" s="282">
        <f t="shared" si="27"/>
        <v>41.165098216553872</v>
      </c>
      <c r="F367" s="282">
        <f t="shared" si="28"/>
        <v>2229.9909071714578</v>
      </c>
      <c r="G367" s="282">
        <f t="shared" si="29"/>
        <v>6751.4850673493875</v>
      </c>
    </row>
    <row r="368" spans="1:7" x14ac:dyDescent="0.3">
      <c r="A368" s="142">
        <v>358</v>
      </c>
      <c r="B368" s="252">
        <v>52627</v>
      </c>
      <c r="C368" s="282">
        <f t="shared" si="25"/>
        <v>6751.4850673493875</v>
      </c>
      <c r="D368" s="282">
        <f t="shared" si="26"/>
        <v>2271.1560053880116</v>
      </c>
      <c r="E368" s="282">
        <f t="shared" si="27"/>
        <v>30.944306558684691</v>
      </c>
      <c r="F368" s="282">
        <f t="shared" si="28"/>
        <v>2240.2116988293269</v>
      </c>
      <c r="G368" s="282">
        <f t="shared" si="29"/>
        <v>4511.2733685200601</v>
      </c>
    </row>
    <row r="369" spans="1:7" x14ac:dyDescent="0.3">
      <c r="A369" s="142">
        <v>359</v>
      </c>
      <c r="B369" s="252">
        <v>52656</v>
      </c>
      <c r="C369" s="282">
        <f t="shared" si="25"/>
        <v>4511.2733685200601</v>
      </c>
      <c r="D369" s="282">
        <f t="shared" si="26"/>
        <v>2271.1560053880116</v>
      </c>
      <c r="E369" s="282">
        <f t="shared" si="27"/>
        <v>20.676669605716942</v>
      </c>
      <c r="F369" s="282">
        <f t="shared" si="28"/>
        <v>2250.4793357822946</v>
      </c>
      <c r="G369" s="282">
        <f t="shared" si="29"/>
        <v>2260.7940327377655</v>
      </c>
    </row>
    <row r="370" spans="1:7" x14ac:dyDescent="0.3">
      <c r="A370" s="142">
        <v>360</v>
      </c>
      <c r="B370" s="252">
        <v>52687</v>
      </c>
      <c r="C370" s="282">
        <f t="shared" si="25"/>
        <v>2260.7940327377655</v>
      </c>
      <c r="D370" s="282">
        <f t="shared" si="26"/>
        <v>2271.1560053880116</v>
      </c>
      <c r="E370" s="282">
        <f t="shared" si="27"/>
        <v>10.361972650048092</v>
      </c>
      <c r="F370" s="282">
        <f t="shared" si="28"/>
        <v>2260.7940327379633</v>
      </c>
      <c r="G370" s="282">
        <f t="shared" si="29"/>
        <v>-1.9781509763561189E-10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30"/>
  <sheetViews>
    <sheetView showGridLines="0" zoomScale="110" zoomScaleNormal="110" workbookViewId="0">
      <selection activeCell="D32" sqref="D32"/>
    </sheetView>
  </sheetViews>
  <sheetFormatPr defaultColWidth="9.109375" defaultRowHeight="14.4" x14ac:dyDescent="0.3"/>
  <cols>
    <col min="1" max="4" width="16" style="3" customWidth="1"/>
    <col min="5" max="11" width="13.33203125" style="3" customWidth="1"/>
    <col min="12" max="12" width="13.33203125" style="572" customWidth="1"/>
    <col min="13" max="13" width="13.33203125" style="3" customWidth="1"/>
    <col min="14" max="16" width="9.109375" style="3"/>
    <col min="17" max="17" width="9.5546875" style="3" customWidth="1"/>
    <col min="18" max="16384" width="9.109375" style="3"/>
  </cols>
  <sheetData>
    <row r="1" spans="1:13" ht="19.8" x14ac:dyDescent="0.4">
      <c r="A1" s="534"/>
      <c r="B1" s="534"/>
      <c r="C1" s="534"/>
      <c r="D1" s="534"/>
      <c r="E1" s="640" t="s">
        <v>3016</v>
      </c>
      <c r="F1" s="562"/>
      <c r="G1" s="562"/>
      <c r="H1" s="562"/>
      <c r="I1" s="562"/>
      <c r="J1" s="562"/>
      <c r="K1" s="562"/>
      <c r="L1" s="563"/>
    </row>
    <row r="2" spans="1:13" ht="19.8" x14ac:dyDescent="0.4">
      <c r="A2" s="715" t="s">
        <v>10</v>
      </c>
      <c r="B2" s="716"/>
      <c r="C2" s="716"/>
      <c r="D2" s="716"/>
      <c r="E2" s="562"/>
      <c r="F2" s="562"/>
      <c r="G2" s="562"/>
      <c r="H2" s="562"/>
      <c r="I2" s="562"/>
      <c r="J2" s="562"/>
      <c r="K2" s="562"/>
      <c r="L2" s="563"/>
    </row>
    <row r="3" spans="1:13" ht="19.8" x14ac:dyDescent="0.4">
      <c r="A3" s="716"/>
      <c r="B3" s="716"/>
      <c r="C3" s="716"/>
      <c r="D3" s="716"/>
      <c r="E3" s="562"/>
      <c r="F3" s="562"/>
      <c r="G3" s="562"/>
      <c r="H3" s="562"/>
      <c r="I3" s="562"/>
      <c r="J3" s="562"/>
      <c r="K3" s="562"/>
      <c r="L3" s="563"/>
    </row>
    <row r="4" spans="1:13" x14ac:dyDescent="0.3">
      <c r="A4" s="546"/>
      <c r="B4" s="562"/>
      <c r="C4" s="562"/>
      <c r="D4" s="562"/>
      <c r="E4" s="562"/>
      <c r="F4" s="562"/>
      <c r="G4" s="562"/>
      <c r="H4" s="562"/>
      <c r="I4" s="562"/>
      <c r="J4" s="562"/>
      <c r="K4" s="562"/>
      <c r="L4" s="564"/>
      <c r="M4" s="3" t="s">
        <v>7</v>
      </c>
    </row>
    <row r="5" spans="1:13" ht="15" customHeight="1" x14ac:dyDescent="0.3">
      <c r="A5" s="565" t="s">
        <v>177</v>
      </c>
      <c r="B5" s="558" t="s">
        <v>624</v>
      </c>
      <c r="C5" s="566" t="s">
        <v>623</v>
      </c>
      <c r="D5" s="537" t="s">
        <v>9</v>
      </c>
      <c r="E5" s="562"/>
      <c r="F5" s="562"/>
      <c r="G5" s="562"/>
      <c r="H5" s="562"/>
      <c r="I5" s="562"/>
      <c r="J5" s="715"/>
      <c r="K5" s="562"/>
      <c r="L5" s="567"/>
      <c r="M5" s="3" t="s">
        <v>8</v>
      </c>
    </row>
    <row r="6" spans="1:13" x14ac:dyDescent="0.3">
      <c r="A6" s="546" t="s">
        <v>621</v>
      </c>
      <c r="B6" s="547">
        <v>39508</v>
      </c>
      <c r="C6" s="568" t="s">
        <v>7</v>
      </c>
      <c r="D6" s="569">
        <f>IF(C6="Yes",235,0)</f>
        <v>235</v>
      </c>
      <c r="E6" s="562"/>
      <c r="F6" s="562"/>
      <c r="G6" s="562"/>
      <c r="H6" s="562"/>
      <c r="I6" s="562"/>
      <c r="J6" s="715"/>
      <c r="K6" s="562"/>
      <c r="L6" s="564"/>
    </row>
    <row r="7" spans="1:13" x14ac:dyDescent="0.3">
      <c r="A7" s="546" t="s">
        <v>622</v>
      </c>
      <c r="B7" s="548">
        <v>38657</v>
      </c>
      <c r="C7" s="570" t="s">
        <v>8</v>
      </c>
      <c r="D7" s="571">
        <f>IF(C7="Yes",235,0)</f>
        <v>0</v>
      </c>
      <c r="E7" s="562"/>
      <c r="F7" s="562"/>
      <c r="G7" s="562"/>
      <c r="H7" s="562"/>
      <c r="I7" s="562"/>
      <c r="J7" s="715"/>
      <c r="K7" s="562"/>
      <c r="L7" s="564"/>
    </row>
    <row r="8" spans="1:13" x14ac:dyDescent="0.3">
      <c r="A8" s="562" t="s">
        <v>5</v>
      </c>
      <c r="B8" s="547">
        <v>37773</v>
      </c>
      <c r="C8" s="568" t="s">
        <v>8</v>
      </c>
      <c r="D8" s="569">
        <f>IF(C8="Yes",235,0)</f>
        <v>0</v>
      </c>
      <c r="E8" s="562"/>
      <c r="F8" s="562"/>
      <c r="G8" s="562"/>
      <c r="H8" s="562"/>
      <c r="I8" s="562"/>
      <c r="J8" s="715"/>
      <c r="K8" s="562"/>
      <c r="L8" s="564"/>
    </row>
    <row r="9" spans="1:13" x14ac:dyDescent="0.3">
      <c r="A9" s="549" t="s">
        <v>2</v>
      </c>
      <c r="B9" s="548">
        <v>39114</v>
      </c>
      <c r="C9" s="570" t="s">
        <v>7</v>
      </c>
      <c r="D9" s="571">
        <f>IF(C9="Yes",235,0)</f>
        <v>235</v>
      </c>
      <c r="E9" s="562"/>
      <c r="F9" s="562"/>
      <c r="G9" s="562"/>
      <c r="H9" s="562"/>
      <c r="I9" s="562"/>
      <c r="J9" s="715"/>
      <c r="K9" s="562"/>
      <c r="L9" s="564"/>
    </row>
    <row r="10" spans="1:13" x14ac:dyDescent="0.3">
      <c r="A10" s="549" t="s">
        <v>618</v>
      </c>
      <c r="B10" s="550">
        <v>38770</v>
      </c>
      <c r="C10" s="57"/>
      <c r="D10" s="571">
        <f t="shared" ref="D10:D12" si="0">IF(C10="Yes",235,0)</f>
        <v>0</v>
      </c>
    </row>
    <row r="11" spans="1:13" x14ac:dyDescent="0.3">
      <c r="A11" s="549" t="s">
        <v>619</v>
      </c>
      <c r="B11" s="550">
        <v>37353</v>
      </c>
      <c r="C11" s="57"/>
      <c r="D11" s="571">
        <f t="shared" si="0"/>
        <v>0</v>
      </c>
    </row>
    <row r="12" spans="1:13" x14ac:dyDescent="0.3">
      <c r="A12" s="551" t="s">
        <v>620</v>
      </c>
      <c r="B12" s="550">
        <v>38566</v>
      </c>
      <c r="C12" s="57"/>
      <c r="D12" s="571">
        <f t="shared" si="0"/>
        <v>0</v>
      </c>
    </row>
    <row r="13" spans="1:13" x14ac:dyDescent="0.3">
      <c r="C13" s="57"/>
    </row>
    <row r="14" spans="1:13" x14ac:dyDescent="0.3">
      <c r="C14" s="57"/>
    </row>
    <row r="15" spans="1:13" x14ac:dyDescent="0.3">
      <c r="C15" s="57"/>
    </row>
    <row r="16" spans="1:13" x14ac:dyDescent="0.3">
      <c r="C16" s="57"/>
    </row>
    <row r="17" spans="3:3" x14ac:dyDescent="0.3">
      <c r="C17" s="57"/>
    </row>
    <row r="18" spans="3:3" x14ac:dyDescent="0.3">
      <c r="C18" s="57"/>
    </row>
    <row r="19" spans="3:3" x14ac:dyDescent="0.3">
      <c r="C19" s="57"/>
    </row>
    <row r="20" spans="3:3" x14ac:dyDescent="0.3">
      <c r="C20" s="57"/>
    </row>
    <row r="21" spans="3:3" x14ac:dyDescent="0.3">
      <c r="C21" s="57"/>
    </row>
    <row r="22" spans="3:3" x14ac:dyDescent="0.3">
      <c r="C22" s="57"/>
    </row>
    <row r="23" spans="3:3" x14ac:dyDescent="0.3">
      <c r="C23" s="57"/>
    </row>
    <row r="24" spans="3:3" x14ac:dyDescent="0.3">
      <c r="C24" s="57"/>
    </row>
    <row r="25" spans="3:3" x14ac:dyDescent="0.3">
      <c r="C25" s="57"/>
    </row>
    <row r="26" spans="3:3" x14ac:dyDescent="0.3">
      <c r="C26" s="57"/>
    </row>
    <row r="27" spans="3:3" x14ac:dyDescent="0.3">
      <c r="C27" s="57"/>
    </row>
    <row r="28" spans="3:3" x14ac:dyDescent="0.3">
      <c r="C28" s="57"/>
    </row>
    <row r="29" spans="3:3" x14ac:dyDescent="0.3">
      <c r="C29" s="57"/>
    </row>
    <row r="30" spans="3:3" x14ac:dyDescent="0.3">
      <c r="C30" s="57"/>
    </row>
  </sheetData>
  <mergeCells count="2">
    <mergeCell ref="J5:J9"/>
    <mergeCell ref="A2:D3"/>
  </mergeCells>
  <phoneticPr fontId="0" type="noConversion"/>
  <dataValidations count="1">
    <dataValidation type="list" allowBlank="1" showInputMessage="1" showErrorMessage="1" sqref="C6:C39">
      <formula1>$M$4:$M$5</formula1>
    </dataValidation>
  </dataValidations>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workbookViewId="0">
      <selection activeCell="B5" sqref="B5"/>
    </sheetView>
  </sheetViews>
  <sheetFormatPr defaultColWidth="9.109375" defaultRowHeight="15.6" x14ac:dyDescent="0.3"/>
  <cols>
    <col min="1" max="1" width="26.109375" style="142" customWidth="1"/>
    <col min="2" max="2" width="12.6640625" style="142" bestFit="1" customWidth="1"/>
    <col min="3" max="3" width="9.109375" style="142"/>
    <col min="4" max="4" width="13.88671875" style="160" customWidth="1"/>
    <col min="5" max="16384" width="9.109375" style="142"/>
  </cols>
  <sheetData>
    <row r="1" spans="1:13" ht="30" x14ac:dyDescent="0.5">
      <c r="A1" s="113" t="s">
        <v>1834</v>
      </c>
      <c r="B1" s="114"/>
      <c r="M1" s="634" t="s">
        <v>3016</v>
      </c>
    </row>
    <row r="3" spans="1:13" x14ac:dyDescent="0.3">
      <c r="A3" s="179" t="s">
        <v>25</v>
      </c>
      <c r="B3" s="234">
        <v>6.5000000000000002E-2</v>
      </c>
    </row>
    <row r="4" spans="1:13" x14ac:dyDescent="0.3">
      <c r="A4" s="176"/>
      <c r="B4" s="176"/>
    </row>
    <row r="5" spans="1:13" x14ac:dyDescent="0.3">
      <c r="A5" s="176" t="s">
        <v>1845</v>
      </c>
      <c r="B5" s="277">
        <f>NPV(B3/12,D8:D37)</f>
        <v>82861.520038149654</v>
      </c>
    </row>
    <row r="7" spans="1:13" ht="16.2" thickBot="1" x14ac:dyDescent="0.35">
      <c r="B7" s="278" t="s">
        <v>1016</v>
      </c>
      <c r="D7" s="279" t="s">
        <v>1844</v>
      </c>
    </row>
    <row r="8" spans="1:13" x14ac:dyDescent="0.3">
      <c r="A8" s="142">
        <v>1</v>
      </c>
      <c r="B8" s="252">
        <v>40298</v>
      </c>
      <c r="D8" s="160">
        <v>3000</v>
      </c>
    </row>
    <row r="9" spans="1:13" x14ac:dyDescent="0.3">
      <c r="A9" s="142">
        <v>2</v>
      </c>
      <c r="B9" s="252">
        <v>40329</v>
      </c>
      <c r="D9" s="160">
        <v>3000</v>
      </c>
    </row>
    <row r="10" spans="1:13" x14ac:dyDescent="0.3">
      <c r="A10" s="142">
        <v>3</v>
      </c>
      <c r="B10" s="252">
        <v>40359</v>
      </c>
      <c r="D10" s="160">
        <v>3000</v>
      </c>
    </row>
    <row r="11" spans="1:13" x14ac:dyDescent="0.3">
      <c r="A11" s="142">
        <v>4</v>
      </c>
      <c r="B11" s="252">
        <v>40390</v>
      </c>
      <c r="D11" s="160">
        <v>3000</v>
      </c>
    </row>
    <row r="12" spans="1:13" x14ac:dyDescent="0.3">
      <c r="A12" s="142">
        <v>5</v>
      </c>
      <c r="B12" s="252">
        <v>40421</v>
      </c>
      <c r="D12" s="160">
        <v>3000</v>
      </c>
    </row>
    <row r="13" spans="1:13" x14ac:dyDescent="0.3">
      <c r="A13" s="142">
        <v>6</v>
      </c>
      <c r="B13" s="252">
        <v>40451</v>
      </c>
      <c r="D13" s="160">
        <v>3000</v>
      </c>
    </row>
    <row r="14" spans="1:13" x14ac:dyDescent="0.3">
      <c r="A14" s="142">
        <v>7</v>
      </c>
      <c r="B14" s="252">
        <v>40482</v>
      </c>
      <c r="D14" s="160">
        <v>3000</v>
      </c>
    </row>
    <row r="15" spans="1:13" x14ac:dyDescent="0.3">
      <c r="A15" s="142">
        <v>8</v>
      </c>
      <c r="B15" s="252">
        <v>40512</v>
      </c>
      <c r="D15" s="160">
        <v>3000</v>
      </c>
    </row>
    <row r="16" spans="1:13" x14ac:dyDescent="0.3">
      <c r="A16" s="142">
        <v>9</v>
      </c>
      <c r="B16" s="252">
        <v>40543</v>
      </c>
      <c r="D16" s="160">
        <v>3000</v>
      </c>
    </row>
    <row r="17" spans="1:4" x14ac:dyDescent="0.3">
      <c r="A17" s="142">
        <v>10</v>
      </c>
      <c r="B17" s="252">
        <v>40574</v>
      </c>
      <c r="D17" s="160">
        <v>3000</v>
      </c>
    </row>
    <row r="18" spans="1:4" x14ac:dyDescent="0.3">
      <c r="A18" s="142">
        <v>11</v>
      </c>
      <c r="B18" s="252">
        <v>40602</v>
      </c>
      <c r="D18" s="160">
        <v>3000</v>
      </c>
    </row>
    <row r="19" spans="1:4" x14ac:dyDescent="0.3">
      <c r="A19" s="142">
        <v>12</v>
      </c>
      <c r="B19" s="252">
        <v>40633</v>
      </c>
      <c r="D19" s="160">
        <v>3000</v>
      </c>
    </row>
    <row r="20" spans="1:4" x14ac:dyDescent="0.3">
      <c r="A20" s="142">
        <v>13</v>
      </c>
      <c r="B20" s="252">
        <v>40663</v>
      </c>
      <c r="D20" s="160">
        <v>3000</v>
      </c>
    </row>
    <row r="21" spans="1:4" x14ac:dyDescent="0.3">
      <c r="A21" s="142">
        <v>14</v>
      </c>
      <c r="B21" s="252">
        <v>40694</v>
      </c>
      <c r="D21" s="160">
        <v>3000</v>
      </c>
    </row>
    <row r="22" spans="1:4" x14ac:dyDescent="0.3">
      <c r="A22" s="142">
        <v>15</v>
      </c>
      <c r="B22" s="252">
        <v>40724</v>
      </c>
      <c r="D22" s="160">
        <v>3000</v>
      </c>
    </row>
    <row r="23" spans="1:4" x14ac:dyDescent="0.3">
      <c r="A23" s="142">
        <v>16</v>
      </c>
      <c r="B23" s="252">
        <v>40755</v>
      </c>
      <c r="D23" s="160">
        <v>3000</v>
      </c>
    </row>
    <row r="24" spans="1:4" x14ac:dyDescent="0.3">
      <c r="A24" s="142">
        <v>17</v>
      </c>
      <c r="B24" s="252">
        <v>40786</v>
      </c>
      <c r="D24" s="160">
        <v>3000</v>
      </c>
    </row>
    <row r="25" spans="1:4" x14ac:dyDescent="0.3">
      <c r="A25" s="142">
        <v>18</v>
      </c>
      <c r="B25" s="252">
        <v>40816</v>
      </c>
      <c r="D25" s="160">
        <v>3000</v>
      </c>
    </row>
    <row r="26" spans="1:4" x14ac:dyDescent="0.3">
      <c r="A26" s="142">
        <v>19</v>
      </c>
      <c r="B26" s="252">
        <v>40847</v>
      </c>
      <c r="D26" s="160">
        <v>3000</v>
      </c>
    </row>
    <row r="27" spans="1:4" x14ac:dyDescent="0.3">
      <c r="A27" s="142">
        <v>20</v>
      </c>
      <c r="B27" s="252">
        <v>40877</v>
      </c>
      <c r="D27" s="160">
        <v>3000</v>
      </c>
    </row>
    <row r="28" spans="1:4" x14ac:dyDescent="0.3">
      <c r="A28" s="142">
        <v>21</v>
      </c>
      <c r="B28" s="252">
        <v>40908</v>
      </c>
      <c r="D28" s="160">
        <v>3000</v>
      </c>
    </row>
    <row r="29" spans="1:4" x14ac:dyDescent="0.3">
      <c r="A29" s="142">
        <v>22</v>
      </c>
      <c r="B29" s="252">
        <v>40939</v>
      </c>
      <c r="D29" s="160">
        <v>3000</v>
      </c>
    </row>
    <row r="30" spans="1:4" x14ac:dyDescent="0.3">
      <c r="A30" s="142">
        <v>23</v>
      </c>
      <c r="B30" s="252">
        <v>40968</v>
      </c>
      <c r="D30" s="160">
        <v>3000</v>
      </c>
    </row>
    <row r="31" spans="1:4" x14ac:dyDescent="0.3">
      <c r="A31" s="142">
        <v>24</v>
      </c>
      <c r="B31" s="252">
        <v>40999</v>
      </c>
      <c r="D31" s="160">
        <v>3000</v>
      </c>
    </row>
    <row r="32" spans="1:4" x14ac:dyDescent="0.3">
      <c r="A32" s="142">
        <v>25</v>
      </c>
      <c r="B32" s="252">
        <v>41029</v>
      </c>
      <c r="D32" s="160">
        <v>3000</v>
      </c>
    </row>
    <row r="33" spans="1:4" x14ac:dyDescent="0.3">
      <c r="A33" s="142">
        <v>26</v>
      </c>
      <c r="B33" s="252">
        <v>41060</v>
      </c>
      <c r="D33" s="160">
        <v>3000</v>
      </c>
    </row>
    <row r="34" spans="1:4" x14ac:dyDescent="0.3">
      <c r="A34" s="142">
        <v>27</v>
      </c>
      <c r="B34" s="252">
        <v>41090</v>
      </c>
      <c r="D34" s="160">
        <v>3000</v>
      </c>
    </row>
    <row r="35" spans="1:4" x14ac:dyDescent="0.3">
      <c r="A35" s="142">
        <v>28</v>
      </c>
      <c r="B35" s="252">
        <v>41121</v>
      </c>
      <c r="D35" s="160">
        <v>3000</v>
      </c>
    </row>
    <row r="36" spans="1:4" x14ac:dyDescent="0.3">
      <c r="A36" s="142">
        <v>29</v>
      </c>
      <c r="B36" s="252">
        <v>41152</v>
      </c>
      <c r="D36" s="160">
        <v>3000</v>
      </c>
    </row>
    <row r="37" spans="1:4" x14ac:dyDescent="0.3">
      <c r="A37" s="142">
        <v>30</v>
      </c>
      <c r="B37" s="252">
        <v>41182</v>
      </c>
      <c r="D37" s="160">
        <v>3000</v>
      </c>
    </row>
    <row r="38" spans="1:4" ht="16.2" thickBot="1" x14ac:dyDescent="0.35">
      <c r="D38" s="280">
        <f>SUM(D8:D37)</f>
        <v>90000</v>
      </c>
    </row>
    <row r="39" spans="1:4" ht="16.2" thickTop="1" x14ac:dyDescent="0.3"/>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showGridLines="0" topLeftCell="A4" workbookViewId="0">
      <selection activeCell="F3" sqref="F3"/>
    </sheetView>
  </sheetViews>
  <sheetFormatPr defaultColWidth="9.109375" defaultRowHeight="15.6" x14ac:dyDescent="0.3"/>
  <cols>
    <col min="1" max="1" width="5.44140625" style="142" customWidth="1"/>
    <col min="2" max="2" width="13" style="142" bestFit="1" customWidth="1"/>
    <col min="3" max="3" width="11" style="142" bestFit="1" customWidth="1"/>
    <col min="4" max="4" width="14.33203125" style="142" bestFit="1" customWidth="1"/>
    <col min="5" max="5" width="14.88671875" style="142" bestFit="1" customWidth="1"/>
    <col min="6" max="7" width="18" style="142" bestFit="1" customWidth="1"/>
    <col min="8" max="8" width="15.5546875" style="142" bestFit="1" customWidth="1"/>
    <col min="9" max="9" width="13.6640625" style="142" bestFit="1" customWidth="1"/>
    <col min="10" max="10" width="11" style="142" bestFit="1" customWidth="1"/>
    <col min="11" max="16384" width="9.109375" style="142"/>
  </cols>
  <sheetData>
    <row r="1" spans="1:13" ht="30" x14ac:dyDescent="0.5">
      <c r="A1" s="115" t="s">
        <v>1846</v>
      </c>
      <c r="B1" s="114"/>
      <c r="C1" s="3"/>
      <c r="D1" s="3"/>
      <c r="F1" s="3"/>
      <c r="G1" s="3"/>
      <c r="M1" s="633" t="s">
        <v>3016</v>
      </c>
    </row>
    <row r="2" spans="1:13" ht="30" x14ac:dyDescent="0.5">
      <c r="A2" s="115"/>
      <c r="B2" s="114"/>
      <c r="C2" s="3"/>
      <c r="D2" s="3"/>
      <c r="E2" s="3"/>
      <c r="F2" s="3"/>
      <c r="G2" s="3"/>
    </row>
    <row r="3" spans="1:13" ht="16.5" customHeight="1" x14ac:dyDescent="0.5">
      <c r="A3" s="115"/>
      <c r="B3" s="114"/>
      <c r="C3" s="3"/>
      <c r="D3" s="3"/>
      <c r="E3" s="269" t="s">
        <v>264</v>
      </c>
      <c r="F3" s="275">
        <f>DSUM($B$9:$J$77,5,$E$3:$E$4)</f>
        <v>2065137.4400000002</v>
      </c>
      <c r="G3" s="275">
        <f>DSUM($B$9:$J$77,6,$E$3:$E$4)</f>
        <v>2006200.9264</v>
      </c>
      <c r="H3" s="275">
        <f>DSUM($B$9:$J$77,7,$E$3:$E$4)</f>
        <v>58936.513599999977</v>
      </c>
      <c r="I3" s="275"/>
      <c r="J3" s="275">
        <f>DSUM($B$9:$J$77,9,$E$3:$E$4)</f>
        <v>92</v>
      </c>
    </row>
    <row r="4" spans="1:13" ht="16.5" customHeight="1" x14ac:dyDescent="0.5">
      <c r="A4" s="115"/>
      <c r="B4" s="114"/>
      <c r="C4" s="3"/>
      <c r="D4" s="3"/>
      <c r="E4" s="269" t="s">
        <v>1779</v>
      </c>
      <c r="G4" s="3"/>
    </row>
    <row r="5" spans="1:13" ht="16.5" customHeight="1" x14ac:dyDescent="0.3"/>
    <row r="6" spans="1:13" s="3" customFormat="1" ht="16.5" customHeight="1" x14ac:dyDescent="0.3">
      <c r="B6" s="119" t="s">
        <v>1770</v>
      </c>
      <c r="C6" s="120"/>
      <c r="D6" s="120"/>
      <c r="E6" s="120"/>
      <c r="F6" s="121"/>
      <c r="G6" s="121"/>
      <c r="H6" s="121"/>
      <c r="I6" s="120"/>
      <c r="J6" s="122"/>
    </row>
    <row r="7" spans="1:13" s="3" customFormat="1" ht="17.399999999999999" x14ac:dyDescent="0.3">
      <c r="B7" s="274" t="s">
        <v>3012</v>
      </c>
      <c r="C7" s="124"/>
      <c r="D7" s="124"/>
      <c r="E7" s="124"/>
      <c r="F7" s="125"/>
      <c r="G7" s="125"/>
      <c r="H7" s="125"/>
      <c r="I7" s="124"/>
      <c r="J7" s="126"/>
    </row>
    <row r="8" spans="1:13" s="3" customFormat="1" ht="17.399999999999999" hidden="1" x14ac:dyDescent="0.3">
      <c r="B8" s="127"/>
      <c r="C8" s="128"/>
      <c r="D8" s="128"/>
      <c r="E8" s="128"/>
      <c r="F8" s="129"/>
      <c r="G8" s="129"/>
      <c r="H8" s="129"/>
      <c r="I8" s="128"/>
    </row>
    <row r="9" spans="1:13" s="3" customFormat="1" ht="39" customHeight="1" thickBot="1" x14ac:dyDescent="0.35">
      <c r="B9" s="130" t="s">
        <v>1768</v>
      </c>
      <c r="C9" s="130" t="s">
        <v>176</v>
      </c>
      <c r="D9" s="130" t="s">
        <v>175</v>
      </c>
      <c r="E9" s="130" t="s">
        <v>264</v>
      </c>
      <c r="F9" s="131" t="s">
        <v>1771</v>
      </c>
      <c r="G9" s="131" t="s">
        <v>1772</v>
      </c>
      <c r="H9" s="132" t="s">
        <v>1773</v>
      </c>
      <c r="I9" s="133" t="s">
        <v>1774</v>
      </c>
      <c r="J9" s="133" t="s">
        <v>1775</v>
      </c>
    </row>
    <row r="10" spans="1:13" s="3" customFormat="1" ht="18" customHeight="1" x14ac:dyDescent="0.3">
      <c r="B10" s="134" t="s">
        <v>1769</v>
      </c>
      <c r="C10" s="134" t="s">
        <v>1776</v>
      </c>
      <c r="D10" s="134" t="s">
        <v>1777</v>
      </c>
      <c r="E10" s="134" t="s">
        <v>1778</v>
      </c>
      <c r="F10" s="135">
        <v>47520</v>
      </c>
      <c r="G10" s="135">
        <v>45619.199999999997</v>
      </c>
      <c r="H10" s="135">
        <f t="shared" ref="H10:H73" si="0">F10-G10</f>
        <v>1900.8000000000029</v>
      </c>
      <c r="I10" s="136">
        <v>0.247</v>
      </c>
      <c r="J10" s="137">
        <v>6</v>
      </c>
    </row>
    <row r="11" spans="1:13" s="3" customFormat="1" ht="18" customHeight="1" x14ac:dyDescent="0.3">
      <c r="B11" s="134" t="s">
        <v>1769</v>
      </c>
      <c r="C11" s="134" t="s">
        <v>1776</v>
      </c>
      <c r="D11" s="134" t="s">
        <v>1777</v>
      </c>
      <c r="E11" s="134" t="s">
        <v>1779</v>
      </c>
      <c r="F11" s="135">
        <v>91463.039999999994</v>
      </c>
      <c r="G11" s="135">
        <v>72255.801599999992</v>
      </c>
      <c r="H11" s="135">
        <f t="shared" si="0"/>
        <v>19207.238400000002</v>
      </c>
      <c r="I11" s="136">
        <v>0.35599999999999998</v>
      </c>
      <c r="J11" s="137">
        <v>8</v>
      </c>
    </row>
    <row r="12" spans="1:13" s="3" customFormat="1" ht="18" customHeight="1" x14ac:dyDescent="0.3">
      <c r="B12" s="134" t="s">
        <v>1769</v>
      </c>
      <c r="C12" s="134" t="s">
        <v>1776</v>
      </c>
      <c r="D12" s="134" t="s">
        <v>1777</v>
      </c>
      <c r="E12" s="134" t="s">
        <v>1778</v>
      </c>
      <c r="F12" s="135">
        <v>356040</v>
      </c>
      <c r="G12" s="135">
        <v>259909.2</v>
      </c>
      <c r="H12" s="135">
        <f t="shared" si="0"/>
        <v>96130.799999999988</v>
      </c>
      <c r="I12" s="136">
        <v>0.255</v>
      </c>
      <c r="J12" s="137">
        <v>2</v>
      </c>
    </row>
    <row r="13" spans="1:13" s="3" customFormat="1" ht="18" customHeight="1" x14ac:dyDescent="0.3">
      <c r="B13" s="134" t="s">
        <v>1769</v>
      </c>
      <c r="C13" s="134" t="s">
        <v>1776</v>
      </c>
      <c r="D13" s="134" t="s">
        <v>1777</v>
      </c>
      <c r="E13" s="134" t="s">
        <v>1779</v>
      </c>
      <c r="F13" s="135">
        <v>154275.84</v>
      </c>
      <c r="G13" s="135">
        <v>143476.5312</v>
      </c>
      <c r="H13" s="135">
        <f t="shared" si="0"/>
        <v>10799.308799999999</v>
      </c>
      <c r="I13" s="136">
        <v>0.65</v>
      </c>
      <c r="J13" s="137">
        <v>9</v>
      </c>
    </row>
    <row r="14" spans="1:13" s="3" customFormat="1" ht="18" customHeight="1" x14ac:dyDescent="0.3">
      <c r="B14" s="134" t="s">
        <v>1769</v>
      </c>
      <c r="C14" s="134" t="s">
        <v>1776</v>
      </c>
      <c r="D14" s="134" t="s">
        <v>1777</v>
      </c>
      <c r="E14" s="134" t="s">
        <v>1778</v>
      </c>
      <c r="F14" s="135">
        <v>113923.584</v>
      </c>
      <c r="G14" s="135">
        <v>93417.338879999996</v>
      </c>
      <c r="H14" s="135">
        <f t="shared" si="0"/>
        <v>20506.245120000007</v>
      </c>
      <c r="I14" s="136">
        <v>0.255</v>
      </c>
      <c r="J14" s="137">
        <v>6</v>
      </c>
    </row>
    <row r="15" spans="1:13" s="3" customFormat="1" ht="18" customHeight="1" x14ac:dyDescent="0.3">
      <c r="B15" s="134" t="s">
        <v>1769</v>
      </c>
      <c r="C15" s="134" t="s">
        <v>1776</v>
      </c>
      <c r="D15" s="134" t="s">
        <v>1780</v>
      </c>
      <c r="E15" s="134" t="s">
        <v>1779</v>
      </c>
      <c r="F15" s="135">
        <v>94936.320000000007</v>
      </c>
      <c r="G15" s="135">
        <v>77847.782399999996</v>
      </c>
      <c r="H15" s="135">
        <f t="shared" si="0"/>
        <v>17088.537600000011</v>
      </c>
      <c r="I15" s="136">
        <v>0.315</v>
      </c>
      <c r="J15" s="137">
        <v>9</v>
      </c>
    </row>
    <row r="16" spans="1:13" s="3" customFormat="1" ht="18" customHeight="1" x14ac:dyDescent="0.3">
      <c r="B16" s="134" t="s">
        <v>1769</v>
      </c>
      <c r="C16" s="134" t="s">
        <v>1776</v>
      </c>
      <c r="D16" s="134" t="s">
        <v>1780</v>
      </c>
      <c r="E16" s="134" t="s">
        <v>1778</v>
      </c>
      <c r="F16" s="135">
        <v>90305.279999999999</v>
      </c>
      <c r="G16" s="135">
        <v>70438.118399999992</v>
      </c>
      <c r="H16" s="135">
        <f t="shared" si="0"/>
        <v>19867.161600000007</v>
      </c>
      <c r="I16" s="136">
        <v>0.255</v>
      </c>
      <c r="J16" s="137"/>
    </row>
    <row r="17" spans="2:10" s="3" customFormat="1" ht="18" customHeight="1" x14ac:dyDescent="0.3">
      <c r="B17" s="134" t="s">
        <v>1769</v>
      </c>
      <c r="C17" s="134" t="s">
        <v>1776</v>
      </c>
      <c r="D17" s="134" t="s">
        <v>1780</v>
      </c>
      <c r="E17" s="134" t="s">
        <v>1779</v>
      </c>
      <c r="F17" s="135">
        <v>394275.84000000003</v>
      </c>
      <c r="G17" s="135">
        <v>366676.53120000003</v>
      </c>
      <c r="H17" s="135">
        <f t="shared" si="0"/>
        <v>27599.308799999999</v>
      </c>
      <c r="I17" s="136">
        <v>0.154</v>
      </c>
      <c r="J17" s="137">
        <v>0</v>
      </c>
    </row>
    <row r="18" spans="2:10" s="3" customFormat="1" ht="18" customHeight="1" x14ac:dyDescent="0.3">
      <c r="B18" s="134" t="s">
        <v>1769</v>
      </c>
      <c r="C18" s="134" t="s">
        <v>1776</v>
      </c>
      <c r="D18" s="134" t="s">
        <v>1780</v>
      </c>
      <c r="E18" s="134" t="s">
        <v>1778</v>
      </c>
      <c r="F18" s="135">
        <v>116121.60000000001</v>
      </c>
      <c r="G18" s="135">
        <v>84768.767999999996</v>
      </c>
      <c r="H18" s="135">
        <f t="shared" si="0"/>
        <v>31352.832000000009</v>
      </c>
      <c r="I18" s="136">
        <v>0.13400000000000001</v>
      </c>
      <c r="J18" s="137">
        <v>3</v>
      </c>
    </row>
    <row r="19" spans="2:10" s="3" customFormat="1" ht="18" customHeight="1" x14ac:dyDescent="0.3">
      <c r="B19" s="134" t="s">
        <v>1769</v>
      </c>
      <c r="C19" s="134" t="s">
        <v>1776</v>
      </c>
      <c r="D19" s="134" t="s">
        <v>1781</v>
      </c>
      <c r="E19" s="134" t="s">
        <v>1778</v>
      </c>
      <c r="F19" s="135">
        <v>92620.800000000003</v>
      </c>
      <c r="G19" s="135">
        <v>82432.511999999988</v>
      </c>
      <c r="H19" s="135">
        <f t="shared" si="0"/>
        <v>10188.288000000015</v>
      </c>
      <c r="I19" s="136">
        <v>0.187</v>
      </c>
      <c r="J19" s="137">
        <v>3</v>
      </c>
    </row>
    <row r="20" spans="2:10" s="3" customFormat="1" ht="18" customHeight="1" x14ac:dyDescent="0.3">
      <c r="B20" s="134" t="s">
        <v>1769</v>
      </c>
      <c r="C20" s="134" t="s">
        <v>1776</v>
      </c>
      <c r="D20" s="134" t="s">
        <v>1781</v>
      </c>
      <c r="E20" s="134" t="s">
        <v>1779</v>
      </c>
      <c r="F20" s="135">
        <v>69465.600000000006</v>
      </c>
      <c r="G20" s="135">
        <v>66686.975999999995</v>
      </c>
      <c r="H20" s="135">
        <f t="shared" si="0"/>
        <v>2778.6240000000107</v>
      </c>
      <c r="I20" s="136">
        <v>0.54400000000000004</v>
      </c>
      <c r="J20" s="137">
        <v>9</v>
      </c>
    </row>
    <row r="21" spans="2:10" s="3" customFormat="1" ht="18" customHeight="1" x14ac:dyDescent="0.3">
      <c r="B21" s="134" t="s">
        <v>1769</v>
      </c>
      <c r="C21" s="134" t="s">
        <v>1776</v>
      </c>
      <c r="D21" s="134" t="s">
        <v>1781</v>
      </c>
      <c r="E21" s="134" t="s">
        <v>1778</v>
      </c>
      <c r="F21" s="135">
        <v>261004.79999999999</v>
      </c>
      <c r="G21" s="135">
        <v>221854.07999999999</v>
      </c>
      <c r="H21" s="135">
        <f t="shared" si="0"/>
        <v>39150.720000000001</v>
      </c>
      <c r="I21" s="136">
        <v>0.23300000000000001</v>
      </c>
      <c r="J21" s="137">
        <v>6</v>
      </c>
    </row>
    <row r="22" spans="2:10" s="3" customFormat="1" ht="18" customHeight="1" x14ac:dyDescent="0.3">
      <c r="B22" s="134" t="s">
        <v>1769</v>
      </c>
      <c r="C22" s="134" t="s">
        <v>1776</v>
      </c>
      <c r="D22" s="134" t="s">
        <v>1781</v>
      </c>
      <c r="E22" s="134" t="s">
        <v>1779</v>
      </c>
      <c r="F22" s="135">
        <v>57024</v>
      </c>
      <c r="G22" s="135">
        <v>54743.040000000001</v>
      </c>
      <c r="H22" s="135">
        <f t="shared" si="0"/>
        <v>2280.9599999999991</v>
      </c>
      <c r="I22" s="136">
        <v>0.56399999999999995</v>
      </c>
      <c r="J22" s="137">
        <v>8</v>
      </c>
    </row>
    <row r="23" spans="2:10" s="3" customFormat="1" ht="18" customHeight="1" x14ac:dyDescent="0.3">
      <c r="B23" s="134" t="s">
        <v>1782</v>
      </c>
      <c r="C23" s="134" t="s">
        <v>1783</v>
      </c>
      <c r="D23" s="134" t="s">
        <v>1784</v>
      </c>
      <c r="E23" s="134" t="s">
        <v>1779</v>
      </c>
      <c r="F23" s="135">
        <v>181988</v>
      </c>
      <c r="G23" s="135">
        <v>205646.44</v>
      </c>
      <c r="H23" s="135">
        <f t="shared" si="0"/>
        <v>-23658.440000000002</v>
      </c>
      <c r="I23" s="136">
        <v>0.432</v>
      </c>
      <c r="J23" s="137">
        <v>2</v>
      </c>
    </row>
    <row r="24" spans="2:10" s="3" customFormat="1" ht="18" customHeight="1" x14ac:dyDescent="0.3">
      <c r="B24" s="134" t="s">
        <v>1782</v>
      </c>
      <c r="C24" s="134" t="s">
        <v>1783</v>
      </c>
      <c r="D24" s="134" t="s">
        <v>1784</v>
      </c>
      <c r="E24" s="134" t="s">
        <v>1779</v>
      </c>
      <c r="F24" s="135">
        <v>121197.6</v>
      </c>
      <c r="G24" s="135">
        <v>112713.76800000001</v>
      </c>
      <c r="H24" s="135">
        <f t="shared" si="0"/>
        <v>8483.8319999999949</v>
      </c>
      <c r="I24" s="136">
        <v>0.154</v>
      </c>
      <c r="J24" s="137">
        <v>4</v>
      </c>
    </row>
    <row r="25" spans="2:10" s="3" customFormat="1" ht="18" customHeight="1" x14ac:dyDescent="0.3">
      <c r="B25" s="134" t="s">
        <v>1782</v>
      </c>
      <c r="C25" s="134" t="s">
        <v>1783</v>
      </c>
      <c r="D25" s="134" t="s">
        <v>1784</v>
      </c>
      <c r="E25" s="134" t="s">
        <v>1778</v>
      </c>
      <c r="F25" s="135">
        <v>432900</v>
      </c>
      <c r="G25" s="135">
        <v>367965</v>
      </c>
      <c r="H25" s="135">
        <f t="shared" si="0"/>
        <v>64935</v>
      </c>
      <c r="I25" s="136">
        <v>0.247</v>
      </c>
      <c r="J25" s="137">
        <v>2</v>
      </c>
    </row>
    <row r="26" spans="2:10" s="3" customFormat="1" ht="18" customHeight="1" x14ac:dyDescent="0.3">
      <c r="B26" s="134" t="s">
        <v>1782</v>
      </c>
      <c r="C26" s="134" t="s">
        <v>1783</v>
      </c>
      <c r="D26" s="134" t="s">
        <v>1784</v>
      </c>
      <c r="E26" s="134" t="s">
        <v>1778</v>
      </c>
      <c r="F26" s="135">
        <v>96768</v>
      </c>
      <c r="G26" s="135">
        <v>70640.639999999999</v>
      </c>
      <c r="H26" s="135">
        <f t="shared" si="0"/>
        <v>26127.360000000001</v>
      </c>
      <c r="I26" s="136">
        <v>0.318</v>
      </c>
      <c r="J26" s="137">
        <v>2</v>
      </c>
    </row>
    <row r="27" spans="2:10" s="3" customFormat="1" ht="18" customHeight="1" x14ac:dyDescent="0.3">
      <c r="B27" s="134" t="s">
        <v>1782</v>
      </c>
      <c r="C27" s="134" t="s">
        <v>1785</v>
      </c>
      <c r="D27" s="134" t="s">
        <v>1786</v>
      </c>
      <c r="E27" s="134" t="s">
        <v>1779</v>
      </c>
      <c r="F27" s="135">
        <v>121197.6</v>
      </c>
      <c r="G27" s="135">
        <v>112713.76800000001</v>
      </c>
      <c r="H27" s="135">
        <f t="shared" si="0"/>
        <v>8483.8319999999949</v>
      </c>
      <c r="I27" s="136">
        <v>0.45</v>
      </c>
      <c r="J27" s="137">
        <v>13</v>
      </c>
    </row>
    <row r="28" spans="2:10" s="3" customFormat="1" ht="18" customHeight="1" x14ac:dyDescent="0.3">
      <c r="B28" s="134" t="s">
        <v>1782</v>
      </c>
      <c r="C28" s="134" t="s">
        <v>1785</v>
      </c>
      <c r="D28" s="134" t="s">
        <v>1786</v>
      </c>
      <c r="E28" s="134" t="s">
        <v>1779</v>
      </c>
      <c r="F28" s="135">
        <v>121197.6</v>
      </c>
      <c r="G28" s="135">
        <v>112713.76800000001</v>
      </c>
      <c r="H28" s="135">
        <f t="shared" si="0"/>
        <v>8483.8319999999949</v>
      </c>
      <c r="I28" s="136">
        <v>0.23300000000000001</v>
      </c>
      <c r="J28" s="137"/>
    </row>
    <row r="29" spans="2:10" s="3" customFormat="1" ht="18" customHeight="1" x14ac:dyDescent="0.3">
      <c r="B29" s="134" t="s">
        <v>1782</v>
      </c>
      <c r="C29" s="134" t="s">
        <v>1785</v>
      </c>
      <c r="D29" s="134" t="s">
        <v>1786</v>
      </c>
      <c r="E29" s="134" t="s">
        <v>1779</v>
      </c>
      <c r="F29" s="135">
        <v>110772</v>
      </c>
      <c r="G29" s="135">
        <v>94156.2</v>
      </c>
      <c r="H29" s="135">
        <f t="shared" si="0"/>
        <v>16615.800000000003</v>
      </c>
      <c r="I29" s="136">
        <v>0.39800000000000002</v>
      </c>
      <c r="J29" s="137">
        <v>9</v>
      </c>
    </row>
    <row r="30" spans="2:10" s="3" customFormat="1" ht="18" customHeight="1" x14ac:dyDescent="0.3">
      <c r="B30" s="134" t="s">
        <v>1782</v>
      </c>
      <c r="C30" s="134" t="s">
        <v>1783</v>
      </c>
      <c r="D30" s="134" t="s">
        <v>1787</v>
      </c>
      <c r="E30" s="134" t="s">
        <v>1778</v>
      </c>
      <c r="F30" s="135">
        <v>128563.2</v>
      </c>
      <c r="G30" s="135">
        <v>119563.776</v>
      </c>
      <c r="H30" s="135">
        <f t="shared" si="0"/>
        <v>8999.4239999999991</v>
      </c>
      <c r="I30" s="136">
        <v>0.39800000000000002</v>
      </c>
      <c r="J30" s="137">
        <v>8</v>
      </c>
    </row>
    <row r="31" spans="2:10" s="3" customFormat="1" ht="18" customHeight="1" x14ac:dyDescent="0.3">
      <c r="B31" s="134" t="s">
        <v>1782</v>
      </c>
      <c r="C31" s="134" t="s">
        <v>1783</v>
      </c>
      <c r="D31" s="134" t="s">
        <v>1787</v>
      </c>
      <c r="E31" s="134" t="s">
        <v>1778</v>
      </c>
      <c r="F31" s="135">
        <v>128563.2</v>
      </c>
      <c r="G31" s="135">
        <v>119563.776</v>
      </c>
      <c r="H31" s="135">
        <f t="shared" si="0"/>
        <v>8999.4239999999991</v>
      </c>
      <c r="I31" s="136">
        <v>0.23300000000000001</v>
      </c>
      <c r="J31" s="137">
        <v>1</v>
      </c>
    </row>
    <row r="32" spans="2:10" s="3" customFormat="1" ht="18" customHeight="1" x14ac:dyDescent="0.3">
      <c r="B32" s="134" t="s">
        <v>1782</v>
      </c>
      <c r="C32" s="134" t="s">
        <v>1783</v>
      </c>
      <c r="D32" s="134" t="s">
        <v>1788</v>
      </c>
      <c r="E32" s="134" t="s">
        <v>1778</v>
      </c>
      <c r="F32" s="135">
        <v>76032</v>
      </c>
      <c r="G32" s="135">
        <v>75271.679999999993</v>
      </c>
      <c r="H32" s="135">
        <f t="shared" si="0"/>
        <v>760.32000000000698</v>
      </c>
      <c r="I32" s="136">
        <v>0.65</v>
      </c>
      <c r="J32" s="137">
        <v>4</v>
      </c>
    </row>
    <row r="33" spans="2:10" s="3" customFormat="1" ht="18" customHeight="1" x14ac:dyDescent="0.3">
      <c r="B33" s="134" t="s">
        <v>1782</v>
      </c>
      <c r="C33" s="134" t="s">
        <v>1785</v>
      </c>
      <c r="D33" s="134" t="s">
        <v>1789</v>
      </c>
      <c r="E33" s="134" t="s">
        <v>1779</v>
      </c>
      <c r="F33" s="135">
        <v>110772</v>
      </c>
      <c r="G33" s="135">
        <v>125172.36</v>
      </c>
      <c r="H33" s="135">
        <f t="shared" si="0"/>
        <v>-14400.36</v>
      </c>
      <c r="I33" s="136">
        <v>0.23300000000000001</v>
      </c>
      <c r="J33" s="137"/>
    </row>
    <row r="34" spans="2:10" s="3" customFormat="1" ht="18" customHeight="1" x14ac:dyDescent="0.3">
      <c r="B34" s="134" t="s">
        <v>1782</v>
      </c>
      <c r="C34" s="134" t="s">
        <v>1785</v>
      </c>
      <c r="D34" s="134" t="s">
        <v>1789</v>
      </c>
      <c r="E34" s="134" t="s">
        <v>1779</v>
      </c>
      <c r="F34" s="135">
        <v>110772</v>
      </c>
      <c r="G34" s="135">
        <v>125172.36</v>
      </c>
      <c r="H34" s="135">
        <f t="shared" si="0"/>
        <v>-14400.36</v>
      </c>
      <c r="I34" s="136">
        <v>0.318</v>
      </c>
      <c r="J34" s="137">
        <v>1</v>
      </c>
    </row>
    <row r="35" spans="2:10" s="3" customFormat="1" ht="18" customHeight="1" x14ac:dyDescent="0.3">
      <c r="B35" s="134" t="s">
        <v>1782</v>
      </c>
      <c r="C35" s="134" t="s">
        <v>1785</v>
      </c>
      <c r="D35" s="134" t="s">
        <v>1789</v>
      </c>
      <c r="E35" s="134" t="s">
        <v>1779</v>
      </c>
      <c r="F35" s="135">
        <v>91224</v>
      </c>
      <c r="G35" s="135">
        <v>66593.52</v>
      </c>
      <c r="H35" s="135">
        <f t="shared" si="0"/>
        <v>24630.479999999996</v>
      </c>
      <c r="I35" s="136">
        <v>0.65</v>
      </c>
      <c r="J35" s="137">
        <v>6</v>
      </c>
    </row>
    <row r="36" spans="2:10" s="3" customFormat="1" ht="18" customHeight="1" x14ac:dyDescent="0.3">
      <c r="B36" s="134" t="s">
        <v>1782</v>
      </c>
      <c r="C36" s="134" t="s">
        <v>1785</v>
      </c>
      <c r="D36" s="134" t="s">
        <v>1789</v>
      </c>
      <c r="E36" s="134" t="s">
        <v>1779</v>
      </c>
      <c r="F36" s="135">
        <v>91224</v>
      </c>
      <c r="G36" s="135">
        <v>127713.60000000001</v>
      </c>
      <c r="H36" s="135">
        <f t="shared" si="0"/>
        <v>-36489.600000000006</v>
      </c>
      <c r="I36" s="136">
        <v>0.247</v>
      </c>
      <c r="J36" s="137">
        <v>4</v>
      </c>
    </row>
    <row r="37" spans="2:10" s="3" customFormat="1" ht="18" customHeight="1" x14ac:dyDescent="0.3">
      <c r="B37" s="134" t="s">
        <v>1782</v>
      </c>
      <c r="C37" s="134" t="s">
        <v>1785</v>
      </c>
      <c r="D37" s="134" t="s">
        <v>1789</v>
      </c>
      <c r="E37" s="134" t="s">
        <v>1779</v>
      </c>
      <c r="F37" s="135">
        <v>71676</v>
      </c>
      <c r="G37" s="135">
        <v>70959.240000000005</v>
      </c>
      <c r="H37" s="135">
        <f t="shared" si="0"/>
        <v>716.75999999999476</v>
      </c>
      <c r="I37" s="136">
        <v>0.13400000000000001</v>
      </c>
      <c r="J37" s="137">
        <v>9</v>
      </c>
    </row>
    <row r="38" spans="2:10" s="3" customFormat="1" ht="18" customHeight="1" x14ac:dyDescent="0.3">
      <c r="B38" s="134" t="s">
        <v>1782</v>
      </c>
      <c r="C38" s="134" t="s">
        <v>1785</v>
      </c>
      <c r="D38" s="134" t="s">
        <v>1789</v>
      </c>
      <c r="E38" s="134" t="s">
        <v>1778</v>
      </c>
      <c r="F38" s="135">
        <v>217504</v>
      </c>
      <c r="G38" s="135">
        <v>184878.4</v>
      </c>
      <c r="H38" s="135">
        <f t="shared" si="0"/>
        <v>32625.600000000006</v>
      </c>
      <c r="I38" s="136">
        <v>0.23300000000000001</v>
      </c>
      <c r="J38" s="137">
        <v>9</v>
      </c>
    </row>
    <row r="39" spans="2:10" s="3" customFormat="1" ht="18" customHeight="1" x14ac:dyDescent="0.3">
      <c r="B39" s="134" t="s">
        <v>1782</v>
      </c>
      <c r="C39" s="134" t="s">
        <v>1785</v>
      </c>
      <c r="D39" s="134" t="s">
        <v>1789</v>
      </c>
      <c r="E39" s="134" t="s">
        <v>1778</v>
      </c>
      <c r="F39" s="135">
        <v>128563.2</v>
      </c>
      <c r="G39" s="135">
        <v>119563.776</v>
      </c>
      <c r="H39" s="135">
        <f t="shared" si="0"/>
        <v>8999.4239999999991</v>
      </c>
      <c r="I39" s="136">
        <v>0.154</v>
      </c>
      <c r="J39" s="137">
        <v>3</v>
      </c>
    </row>
    <row r="40" spans="2:10" s="3" customFormat="1" ht="18" customHeight="1" x14ac:dyDescent="0.3">
      <c r="B40" s="134" t="s">
        <v>1790</v>
      </c>
      <c r="C40" s="134" t="s">
        <v>1776</v>
      </c>
      <c r="D40" s="134" t="s">
        <v>1777</v>
      </c>
      <c r="E40" s="134" t="s">
        <v>1791</v>
      </c>
      <c r="F40" s="135">
        <v>94936.320000000007</v>
      </c>
      <c r="G40" s="135">
        <v>77847.782399999996</v>
      </c>
      <c r="H40" s="135">
        <f t="shared" si="0"/>
        <v>17088.537600000011</v>
      </c>
      <c r="I40" s="136">
        <v>0.56399999999999995</v>
      </c>
      <c r="J40" s="137">
        <v>8</v>
      </c>
    </row>
    <row r="41" spans="2:10" s="3" customFormat="1" ht="18" customHeight="1" x14ac:dyDescent="0.3">
      <c r="B41" s="134" t="s">
        <v>1790</v>
      </c>
      <c r="C41" s="134" t="s">
        <v>1776</v>
      </c>
      <c r="D41" s="134" t="s">
        <v>1777</v>
      </c>
      <c r="E41" s="134" t="s">
        <v>1792</v>
      </c>
      <c r="F41" s="135">
        <v>90305.279999999999</v>
      </c>
      <c r="G41" s="135">
        <v>70438.118399999992</v>
      </c>
      <c r="H41" s="135">
        <f t="shared" si="0"/>
        <v>19867.161600000007</v>
      </c>
      <c r="I41" s="138">
        <v>0.26500000000000001</v>
      </c>
      <c r="J41" s="137">
        <v>2</v>
      </c>
    </row>
    <row r="42" spans="2:10" s="3" customFormat="1" ht="18" customHeight="1" x14ac:dyDescent="0.3">
      <c r="B42" s="134" t="s">
        <v>1790</v>
      </c>
      <c r="C42" s="134" t="s">
        <v>1776</v>
      </c>
      <c r="D42" s="134" t="s">
        <v>1777</v>
      </c>
      <c r="E42" s="134" t="s">
        <v>1791</v>
      </c>
      <c r="F42" s="135">
        <v>519480</v>
      </c>
      <c r="G42" s="135">
        <v>441558</v>
      </c>
      <c r="H42" s="135">
        <f t="shared" si="0"/>
        <v>77922</v>
      </c>
      <c r="I42" s="136">
        <v>0.39800000000000002</v>
      </c>
      <c r="J42" s="137">
        <v>6</v>
      </c>
    </row>
    <row r="43" spans="2:10" s="3" customFormat="1" ht="18" customHeight="1" x14ac:dyDescent="0.3">
      <c r="B43" s="134" t="s">
        <v>1790</v>
      </c>
      <c r="C43" s="134" t="s">
        <v>1776</v>
      </c>
      <c r="D43" s="134" t="s">
        <v>1777</v>
      </c>
      <c r="E43" s="134" t="s">
        <v>1792</v>
      </c>
      <c r="F43" s="135">
        <v>91238.399999999994</v>
      </c>
      <c r="G43" s="135">
        <v>90326.015999999989</v>
      </c>
      <c r="H43" s="135">
        <f t="shared" si="0"/>
        <v>912.38400000000547</v>
      </c>
      <c r="I43" s="136">
        <v>0.315</v>
      </c>
      <c r="J43" s="137">
        <v>9</v>
      </c>
    </row>
    <row r="44" spans="2:10" s="3" customFormat="1" ht="18" customHeight="1" x14ac:dyDescent="0.3">
      <c r="B44" s="134" t="s">
        <v>1790</v>
      </c>
      <c r="C44" s="134" t="s">
        <v>1776</v>
      </c>
      <c r="D44" s="134" t="s">
        <v>1780</v>
      </c>
      <c r="E44" s="134" t="s">
        <v>1792</v>
      </c>
      <c r="F44" s="135">
        <v>92620.800000000003</v>
      </c>
      <c r="G44" s="135">
        <v>104661.504</v>
      </c>
      <c r="H44" s="135">
        <f t="shared" si="0"/>
        <v>-12040.703999999998</v>
      </c>
      <c r="I44" s="136">
        <v>0.255</v>
      </c>
      <c r="J44" s="137">
        <v>9</v>
      </c>
    </row>
    <row r="45" spans="2:10" s="3" customFormat="1" ht="18" customHeight="1" x14ac:dyDescent="0.3">
      <c r="B45" s="134" t="s">
        <v>1790</v>
      </c>
      <c r="C45" s="134" t="s">
        <v>1776</v>
      </c>
      <c r="D45" s="134" t="s">
        <v>1780</v>
      </c>
      <c r="E45" s="134" t="s">
        <v>1791</v>
      </c>
      <c r="F45" s="135">
        <v>69465.600000000006</v>
      </c>
      <c r="G45" s="135">
        <v>66686.975999999995</v>
      </c>
      <c r="H45" s="135">
        <f t="shared" si="0"/>
        <v>2778.6240000000107</v>
      </c>
      <c r="I45" s="136">
        <v>0.56399999999999995</v>
      </c>
      <c r="J45" s="137">
        <v>8</v>
      </c>
    </row>
    <row r="46" spans="2:10" s="3" customFormat="1" ht="18" customHeight="1" x14ac:dyDescent="0.3">
      <c r="B46" s="134" t="s">
        <v>1790</v>
      </c>
      <c r="C46" s="134" t="s">
        <v>1776</v>
      </c>
      <c r="D46" s="134" t="s">
        <v>1780</v>
      </c>
      <c r="E46" s="134" t="s">
        <v>1792</v>
      </c>
      <c r="F46" s="135">
        <v>154275.84</v>
      </c>
      <c r="G46" s="135">
        <v>143476.5312</v>
      </c>
      <c r="H46" s="135">
        <f t="shared" si="0"/>
        <v>10799.308799999999</v>
      </c>
      <c r="I46" s="136">
        <v>0.318</v>
      </c>
      <c r="J46" s="137">
        <v>4</v>
      </c>
    </row>
    <row r="47" spans="2:10" s="3" customFormat="1" ht="18" customHeight="1" x14ac:dyDescent="0.3">
      <c r="B47" s="134" t="s">
        <v>1790</v>
      </c>
      <c r="C47" s="134" t="s">
        <v>1776</v>
      </c>
      <c r="D47" s="134" t="s">
        <v>1780</v>
      </c>
      <c r="E47" s="134" t="s">
        <v>1791</v>
      </c>
      <c r="F47" s="135">
        <v>113923.584</v>
      </c>
      <c r="G47" s="135">
        <v>93417.338879999996</v>
      </c>
      <c r="H47" s="135">
        <f t="shared" si="0"/>
        <v>20506.245120000007</v>
      </c>
      <c r="I47" s="136">
        <v>0.187</v>
      </c>
      <c r="J47" s="137">
        <v>5</v>
      </c>
    </row>
    <row r="48" spans="2:10" s="3" customFormat="1" ht="18" customHeight="1" x14ac:dyDescent="0.3">
      <c r="B48" s="134" t="s">
        <v>1790</v>
      </c>
      <c r="C48" s="134" t="s">
        <v>1776</v>
      </c>
      <c r="D48" s="134" t="s">
        <v>1781</v>
      </c>
      <c r="E48" s="134" t="s">
        <v>1792</v>
      </c>
      <c r="F48" s="135">
        <v>94936.320000000007</v>
      </c>
      <c r="G48" s="135">
        <v>77847.782399999996</v>
      </c>
      <c r="H48" s="135">
        <f t="shared" si="0"/>
        <v>17088.537600000011</v>
      </c>
      <c r="I48" s="136">
        <v>0.13400000000000001</v>
      </c>
      <c r="J48" s="137">
        <v>4</v>
      </c>
    </row>
    <row r="49" spans="2:10" s="3" customFormat="1" ht="18" customHeight="1" x14ac:dyDescent="0.3">
      <c r="B49" s="134" t="s">
        <v>1790</v>
      </c>
      <c r="C49" s="134" t="s">
        <v>1776</v>
      </c>
      <c r="D49" s="134" t="s">
        <v>1781</v>
      </c>
      <c r="E49" s="134" t="s">
        <v>1791</v>
      </c>
      <c r="F49" s="135">
        <v>91463.039999999994</v>
      </c>
      <c r="G49" s="135">
        <v>72255.801599999992</v>
      </c>
      <c r="H49" s="135">
        <f t="shared" si="0"/>
        <v>19207.238400000002</v>
      </c>
      <c r="I49" s="136">
        <v>0.27600000000000002</v>
      </c>
      <c r="J49" s="137">
        <v>5</v>
      </c>
    </row>
    <row r="50" spans="2:10" s="3" customFormat="1" ht="18" customHeight="1" x14ac:dyDescent="0.3">
      <c r="B50" s="134" t="s">
        <v>1790</v>
      </c>
      <c r="C50" s="134" t="s">
        <v>1776</v>
      </c>
      <c r="D50" s="134" t="s">
        <v>1781</v>
      </c>
      <c r="E50" s="134" t="s">
        <v>1792</v>
      </c>
      <c r="F50" s="135">
        <v>1447185.6</v>
      </c>
      <c r="G50" s="135">
        <v>1287995.1840000001</v>
      </c>
      <c r="H50" s="135">
        <f t="shared" si="0"/>
        <v>159190.41599999997</v>
      </c>
      <c r="I50" s="136">
        <v>0.23300000000000001</v>
      </c>
      <c r="J50" s="137">
        <v>9</v>
      </c>
    </row>
    <row r="51" spans="2:10" s="3" customFormat="1" ht="18" customHeight="1" x14ac:dyDescent="0.3">
      <c r="B51" s="134" t="s">
        <v>1790</v>
      </c>
      <c r="C51" s="134" t="s">
        <v>1776</v>
      </c>
      <c r="D51" s="134" t="s">
        <v>1781</v>
      </c>
      <c r="E51" s="134" t="s">
        <v>1791</v>
      </c>
      <c r="F51" s="135">
        <v>154275.84</v>
      </c>
      <c r="G51" s="135">
        <v>143476.5312</v>
      </c>
      <c r="H51" s="135">
        <f t="shared" si="0"/>
        <v>10799.308799999999</v>
      </c>
      <c r="I51" s="136">
        <v>0.247</v>
      </c>
      <c r="J51" s="137">
        <v>8</v>
      </c>
    </row>
    <row r="52" spans="2:10" s="3" customFormat="1" ht="18" customHeight="1" x14ac:dyDescent="0.3">
      <c r="B52" s="134" t="s">
        <v>1790</v>
      </c>
      <c r="C52" s="134" t="s">
        <v>1776</v>
      </c>
      <c r="D52" s="134" t="s">
        <v>1781</v>
      </c>
      <c r="E52" s="134" t="s">
        <v>1792</v>
      </c>
      <c r="F52" s="135">
        <v>113923.584</v>
      </c>
      <c r="G52" s="135">
        <v>93417.338879999996</v>
      </c>
      <c r="H52" s="135">
        <f t="shared" si="0"/>
        <v>20506.245120000007</v>
      </c>
      <c r="I52" s="136">
        <v>0.35599999999999998</v>
      </c>
      <c r="J52" s="137">
        <v>2</v>
      </c>
    </row>
    <row r="53" spans="2:10" s="3" customFormat="1" ht="18" customHeight="1" x14ac:dyDescent="0.3">
      <c r="B53" s="134" t="s">
        <v>1793</v>
      </c>
      <c r="C53" s="134" t="s">
        <v>1783</v>
      </c>
      <c r="D53" s="134" t="s">
        <v>1784</v>
      </c>
      <c r="E53" s="134" t="s">
        <v>1778</v>
      </c>
      <c r="F53" s="135">
        <v>1205988</v>
      </c>
      <c r="G53" s="135">
        <v>1073329.32</v>
      </c>
      <c r="H53" s="135">
        <f t="shared" si="0"/>
        <v>132658.67999999993</v>
      </c>
      <c r="I53" s="136">
        <v>0.432</v>
      </c>
      <c r="J53" s="137">
        <v>10</v>
      </c>
    </row>
    <row r="54" spans="2:10" s="3" customFormat="1" ht="18" customHeight="1" x14ac:dyDescent="0.3">
      <c r="B54" s="134" t="s">
        <v>1793</v>
      </c>
      <c r="C54" s="134" t="s">
        <v>1783</v>
      </c>
      <c r="D54" s="134" t="s">
        <v>1784</v>
      </c>
      <c r="E54" s="134" t="s">
        <v>1778</v>
      </c>
      <c r="F54" s="135">
        <f>128563.2+200000</f>
        <v>328563.20000000001</v>
      </c>
      <c r="G54" s="135">
        <v>305563.77600000001</v>
      </c>
      <c r="H54" s="135">
        <f t="shared" si="0"/>
        <v>22999.423999999999</v>
      </c>
      <c r="I54" s="138">
        <v>0.39800000000000002</v>
      </c>
      <c r="J54" s="137">
        <v>3</v>
      </c>
    </row>
    <row r="55" spans="2:10" s="3" customFormat="1" ht="18" customHeight="1" x14ac:dyDescent="0.3">
      <c r="B55" s="134" t="s">
        <v>1794</v>
      </c>
      <c r="C55" s="134" t="s">
        <v>1783</v>
      </c>
      <c r="D55" s="134" t="s">
        <v>1784</v>
      </c>
      <c r="E55" s="134" t="s">
        <v>1779</v>
      </c>
      <c r="F55" s="135">
        <v>71676</v>
      </c>
      <c r="G55" s="135">
        <v>70959.240000000005</v>
      </c>
      <c r="H55" s="135">
        <f t="shared" si="0"/>
        <v>716.75999999999476</v>
      </c>
      <c r="I55" s="136">
        <v>0.53300000000000003</v>
      </c>
      <c r="J55" s="137">
        <v>1</v>
      </c>
    </row>
    <row r="56" spans="2:10" s="3" customFormat="1" ht="18" customHeight="1" x14ac:dyDescent="0.3">
      <c r="B56" s="134" t="s">
        <v>1794</v>
      </c>
      <c r="C56" s="134" t="s">
        <v>1783</v>
      </c>
      <c r="D56" s="134" t="s">
        <v>1784</v>
      </c>
      <c r="E56" s="134" t="s">
        <v>1791</v>
      </c>
      <c r="F56" s="135">
        <v>51480</v>
      </c>
      <c r="G56" s="135">
        <v>58172.4</v>
      </c>
      <c r="H56" s="135">
        <f t="shared" si="0"/>
        <v>-6692.4000000000015</v>
      </c>
      <c r="I56" s="138">
        <v>0.26500000000000001</v>
      </c>
      <c r="J56" s="137">
        <v>9</v>
      </c>
    </row>
    <row r="57" spans="2:10" s="3" customFormat="1" ht="18" customHeight="1" x14ac:dyDescent="0.3">
      <c r="B57" s="134" t="s">
        <v>1794</v>
      </c>
      <c r="C57" s="134" t="s">
        <v>1783</v>
      </c>
      <c r="D57" s="134" t="s">
        <v>1784</v>
      </c>
      <c r="E57" s="134" t="s">
        <v>1791</v>
      </c>
      <c r="F57" s="135">
        <v>39600</v>
      </c>
      <c r="G57" s="135">
        <v>38016</v>
      </c>
      <c r="H57" s="135">
        <f t="shared" si="0"/>
        <v>1584</v>
      </c>
      <c r="I57" s="136">
        <v>0.56399999999999995</v>
      </c>
      <c r="J57" s="137">
        <v>2</v>
      </c>
    </row>
    <row r="58" spans="2:10" s="3" customFormat="1" ht="18" customHeight="1" x14ac:dyDescent="0.3">
      <c r="B58" s="134" t="s">
        <v>1794</v>
      </c>
      <c r="C58" s="134" t="s">
        <v>1783</v>
      </c>
      <c r="D58" s="134" t="s">
        <v>1784</v>
      </c>
      <c r="E58" s="134" t="s">
        <v>1792</v>
      </c>
      <c r="F58" s="135">
        <v>79113.600000000006</v>
      </c>
      <c r="G58" s="135">
        <v>64873.152000000002</v>
      </c>
      <c r="H58" s="135">
        <f t="shared" si="0"/>
        <v>14240.448000000004</v>
      </c>
      <c r="I58" s="136">
        <v>0.27600000000000002</v>
      </c>
      <c r="J58" s="137">
        <v>0</v>
      </c>
    </row>
    <row r="59" spans="2:10" s="3" customFormat="1" ht="18" customHeight="1" x14ac:dyDescent="0.3">
      <c r="B59" s="134" t="s">
        <v>1794</v>
      </c>
      <c r="C59" s="134" t="s">
        <v>1783</v>
      </c>
      <c r="D59" s="134" t="s">
        <v>1784</v>
      </c>
      <c r="E59" s="134" t="s">
        <v>1792</v>
      </c>
      <c r="F59" s="135">
        <v>79113.600000000006</v>
      </c>
      <c r="G59" s="135">
        <v>64873.152000000002</v>
      </c>
      <c r="H59" s="135">
        <f t="shared" si="0"/>
        <v>14240.448000000004</v>
      </c>
      <c r="I59" s="136">
        <v>0.54400000000000004</v>
      </c>
      <c r="J59" s="137">
        <v>6</v>
      </c>
    </row>
    <row r="60" spans="2:10" s="3" customFormat="1" ht="18" customHeight="1" x14ac:dyDescent="0.3">
      <c r="B60" s="134" t="s">
        <v>1794</v>
      </c>
      <c r="C60" s="134" t="s">
        <v>1783</v>
      </c>
      <c r="D60" s="134" t="s">
        <v>1784</v>
      </c>
      <c r="E60" s="134" t="s">
        <v>1792</v>
      </c>
      <c r="F60" s="135">
        <v>57888</v>
      </c>
      <c r="G60" s="135">
        <v>55572.480000000003</v>
      </c>
      <c r="H60" s="135">
        <f t="shared" si="0"/>
        <v>2315.5199999999968</v>
      </c>
      <c r="I60" s="136">
        <v>0.315</v>
      </c>
      <c r="J60" s="137">
        <v>5</v>
      </c>
    </row>
    <row r="61" spans="2:10" s="3" customFormat="1" ht="18" customHeight="1" x14ac:dyDescent="0.3">
      <c r="B61" s="134" t="s">
        <v>1794</v>
      </c>
      <c r="C61" s="134" t="s">
        <v>1783</v>
      </c>
      <c r="D61" s="134" t="s">
        <v>1784</v>
      </c>
      <c r="E61" s="134" t="s">
        <v>1792</v>
      </c>
      <c r="F61" s="135">
        <v>57888</v>
      </c>
      <c r="G61" s="135">
        <v>55572.480000000003</v>
      </c>
      <c r="H61" s="135">
        <f t="shared" si="0"/>
        <v>2315.5199999999968</v>
      </c>
      <c r="I61" s="136">
        <v>0.187</v>
      </c>
      <c r="J61" s="137">
        <v>3</v>
      </c>
    </row>
    <row r="62" spans="2:10" s="3" customFormat="1" ht="18" customHeight="1" x14ac:dyDescent="0.3">
      <c r="B62" s="134" t="s">
        <v>1794</v>
      </c>
      <c r="C62" s="134" t="s">
        <v>1785</v>
      </c>
      <c r="D62" s="134" t="s">
        <v>1786</v>
      </c>
      <c r="E62" s="134" t="s">
        <v>1791</v>
      </c>
      <c r="F62" s="135">
        <v>52800</v>
      </c>
      <c r="G62" s="135">
        <v>59664</v>
      </c>
      <c r="H62" s="135">
        <f t="shared" si="0"/>
        <v>-6864</v>
      </c>
      <c r="I62" s="136">
        <v>0.255</v>
      </c>
      <c r="J62" s="137">
        <v>8</v>
      </c>
    </row>
    <row r="63" spans="2:10" s="3" customFormat="1" ht="18" customHeight="1" x14ac:dyDescent="0.3">
      <c r="B63" s="134" t="s">
        <v>1794</v>
      </c>
      <c r="C63" s="134" t="s">
        <v>1785</v>
      </c>
      <c r="D63" s="134" t="s">
        <v>1786</v>
      </c>
      <c r="E63" s="134" t="s">
        <v>1791</v>
      </c>
      <c r="F63" s="135">
        <v>52140</v>
      </c>
      <c r="G63" s="135">
        <v>41190.6</v>
      </c>
      <c r="H63" s="135">
        <f t="shared" si="0"/>
        <v>10949.400000000001</v>
      </c>
      <c r="I63" s="136">
        <v>0.35599999999999998</v>
      </c>
      <c r="J63" s="137">
        <v>5</v>
      </c>
    </row>
    <row r="64" spans="2:10" s="3" customFormat="1" ht="18" customHeight="1" x14ac:dyDescent="0.3">
      <c r="B64" s="134" t="s">
        <v>1794</v>
      </c>
      <c r="C64" s="134" t="s">
        <v>1785</v>
      </c>
      <c r="D64" s="134" t="s">
        <v>1786</v>
      </c>
      <c r="E64" s="134" t="s">
        <v>1791</v>
      </c>
      <c r="F64" s="135">
        <v>52140</v>
      </c>
      <c r="G64" s="135">
        <v>41190.6</v>
      </c>
      <c r="H64" s="135">
        <f t="shared" si="0"/>
        <v>10949.400000000001</v>
      </c>
      <c r="I64" s="136">
        <v>0.27600000000000002</v>
      </c>
      <c r="J64" s="137">
        <v>6</v>
      </c>
    </row>
    <row r="65" spans="2:10" s="3" customFormat="1" ht="18" customHeight="1" x14ac:dyDescent="0.3">
      <c r="B65" s="134" t="s">
        <v>1794</v>
      </c>
      <c r="C65" s="134" t="s">
        <v>1785</v>
      </c>
      <c r="D65" s="134" t="s">
        <v>1786</v>
      </c>
      <c r="E65" s="134" t="s">
        <v>1792</v>
      </c>
      <c r="F65" s="135">
        <v>77184</v>
      </c>
      <c r="G65" s="135">
        <v>68693.759999999995</v>
      </c>
      <c r="H65" s="135">
        <f t="shared" si="0"/>
        <v>8490.2400000000052</v>
      </c>
      <c r="I65" s="136">
        <v>0.255</v>
      </c>
      <c r="J65" s="137">
        <v>5</v>
      </c>
    </row>
    <row r="66" spans="2:10" s="3" customFormat="1" ht="18" customHeight="1" x14ac:dyDescent="0.3">
      <c r="B66" s="134" t="s">
        <v>1794</v>
      </c>
      <c r="C66" s="134" t="s">
        <v>1785</v>
      </c>
      <c r="D66" s="134" t="s">
        <v>1786</v>
      </c>
      <c r="E66" s="134" t="s">
        <v>1792</v>
      </c>
      <c r="F66" s="135">
        <v>77184</v>
      </c>
      <c r="G66" s="135">
        <v>87217.919999999998</v>
      </c>
      <c r="H66" s="135">
        <f t="shared" si="0"/>
        <v>-10033.919999999998</v>
      </c>
      <c r="I66" s="136">
        <v>0.56399999999999995</v>
      </c>
      <c r="J66" s="137">
        <v>5</v>
      </c>
    </row>
    <row r="67" spans="2:10" s="3" customFormat="1" ht="18" customHeight="1" x14ac:dyDescent="0.3">
      <c r="B67" s="134" t="s">
        <v>1794</v>
      </c>
      <c r="C67" s="134" t="s">
        <v>1785</v>
      </c>
      <c r="D67" s="134" t="s">
        <v>1786</v>
      </c>
      <c r="E67" s="134" t="s">
        <v>1792</v>
      </c>
      <c r="F67" s="135">
        <v>76219.199999999997</v>
      </c>
      <c r="G67" s="135">
        <v>60213.167999999998</v>
      </c>
      <c r="H67" s="135">
        <f t="shared" si="0"/>
        <v>16006.031999999999</v>
      </c>
      <c r="I67" s="136">
        <v>0.54400000000000004</v>
      </c>
      <c r="J67" s="137">
        <v>1</v>
      </c>
    </row>
    <row r="68" spans="2:10" s="3" customFormat="1" ht="18" customHeight="1" x14ac:dyDescent="0.3">
      <c r="B68" s="134" t="s">
        <v>1794</v>
      </c>
      <c r="C68" s="134" t="s">
        <v>1785</v>
      </c>
      <c r="D68" s="134" t="s">
        <v>1786</v>
      </c>
      <c r="E68" s="134" t="s">
        <v>1792</v>
      </c>
      <c r="F68" s="135">
        <v>75254.399999999994</v>
      </c>
      <c r="G68" s="135">
        <v>58698.432000000001</v>
      </c>
      <c r="H68" s="135">
        <f t="shared" si="0"/>
        <v>16555.967999999993</v>
      </c>
      <c r="I68" s="136">
        <v>0.255</v>
      </c>
      <c r="J68" s="137">
        <v>9</v>
      </c>
    </row>
    <row r="69" spans="2:10" s="3" customFormat="1" ht="18" customHeight="1" x14ac:dyDescent="0.3">
      <c r="B69" s="134" t="s">
        <v>1794</v>
      </c>
      <c r="C69" s="134" t="s">
        <v>1783</v>
      </c>
      <c r="D69" s="134" t="s">
        <v>1787</v>
      </c>
      <c r="E69" s="134" t="s">
        <v>1791</v>
      </c>
      <c r="F69" s="135">
        <v>52800</v>
      </c>
      <c r="G69" s="135">
        <v>46992</v>
      </c>
      <c r="H69" s="135">
        <f t="shared" si="0"/>
        <v>5808</v>
      </c>
      <c r="I69" s="136">
        <v>0.187</v>
      </c>
      <c r="J69" s="137">
        <v>9</v>
      </c>
    </row>
    <row r="70" spans="2:10" s="3" customFormat="1" ht="18" customHeight="1" x14ac:dyDescent="0.3">
      <c r="B70" s="134" t="s">
        <v>1794</v>
      </c>
      <c r="C70" s="134" t="s">
        <v>1783</v>
      </c>
      <c r="D70" s="134" t="s">
        <v>1787</v>
      </c>
      <c r="E70" s="134" t="s">
        <v>1792</v>
      </c>
      <c r="F70" s="135">
        <v>76219.199999999997</v>
      </c>
      <c r="G70" s="135">
        <v>60213.167999999998</v>
      </c>
      <c r="H70" s="135">
        <f t="shared" si="0"/>
        <v>16006.031999999999</v>
      </c>
      <c r="I70" s="136">
        <v>0.26500000000000001</v>
      </c>
      <c r="J70" s="137">
        <v>7</v>
      </c>
    </row>
    <row r="71" spans="2:10" s="3" customFormat="1" ht="18" customHeight="1" x14ac:dyDescent="0.3">
      <c r="B71" s="134" t="s">
        <v>1794</v>
      </c>
      <c r="C71" s="134" t="s">
        <v>1783</v>
      </c>
      <c r="D71" s="134" t="s">
        <v>1787</v>
      </c>
      <c r="E71" s="134" t="s">
        <v>1792</v>
      </c>
      <c r="F71" s="135">
        <v>75254.399999999994</v>
      </c>
      <c r="G71" s="135">
        <v>58698.432000000001</v>
      </c>
      <c r="H71" s="135">
        <f t="shared" si="0"/>
        <v>16555.967999999993</v>
      </c>
      <c r="I71" s="136">
        <v>0.35599999999999998</v>
      </c>
      <c r="J71" s="137">
        <v>5</v>
      </c>
    </row>
    <row r="72" spans="2:10" s="3" customFormat="1" ht="18" customHeight="1" x14ac:dyDescent="0.3">
      <c r="B72" s="134" t="s">
        <v>1794</v>
      </c>
      <c r="C72" s="134" t="s">
        <v>1783</v>
      </c>
      <c r="D72" s="134" t="s">
        <v>1787</v>
      </c>
      <c r="E72" s="134" t="s">
        <v>1778</v>
      </c>
      <c r="F72" s="135">
        <v>296700</v>
      </c>
      <c r="G72" s="135">
        <v>216591</v>
      </c>
      <c r="H72" s="135">
        <f t="shared" si="0"/>
        <v>80109</v>
      </c>
      <c r="I72" s="136">
        <v>0.23300000000000001</v>
      </c>
      <c r="J72" s="137">
        <v>1</v>
      </c>
    </row>
    <row r="73" spans="2:10" s="3" customFormat="1" ht="18" customHeight="1" x14ac:dyDescent="0.3">
      <c r="B73" s="134" t="s">
        <v>1794</v>
      </c>
      <c r="C73" s="134" t="s">
        <v>1785</v>
      </c>
      <c r="D73" s="134" t="s">
        <v>1789</v>
      </c>
      <c r="E73" s="134" t="s">
        <v>1791</v>
      </c>
      <c r="F73" s="135">
        <v>54120</v>
      </c>
      <c r="G73" s="135">
        <v>44378.400000000001</v>
      </c>
      <c r="H73" s="135">
        <f t="shared" si="0"/>
        <v>9741.5999999999985</v>
      </c>
      <c r="I73" s="136">
        <v>0.315</v>
      </c>
      <c r="J73" s="137">
        <v>8</v>
      </c>
    </row>
    <row r="74" spans="2:10" s="3" customFormat="1" ht="18" customHeight="1" x14ac:dyDescent="0.3">
      <c r="B74" s="134" t="s">
        <v>1794</v>
      </c>
      <c r="C74" s="134" t="s">
        <v>1785</v>
      </c>
      <c r="D74" s="134" t="s">
        <v>1789</v>
      </c>
      <c r="E74" s="134" t="s">
        <v>1791</v>
      </c>
      <c r="F74" s="135">
        <v>54120</v>
      </c>
      <c r="G74" s="135">
        <v>44378.400000000001</v>
      </c>
      <c r="H74" s="135">
        <f>F74-G74</f>
        <v>9741.5999999999985</v>
      </c>
      <c r="I74" s="136">
        <v>0.56399999999999995</v>
      </c>
      <c r="J74" s="137">
        <v>3</v>
      </c>
    </row>
    <row r="75" spans="2:10" s="3" customFormat="1" ht="18" customHeight="1" x14ac:dyDescent="0.3">
      <c r="B75" s="134" t="s">
        <v>1794</v>
      </c>
      <c r="C75" s="134" t="s">
        <v>1785</v>
      </c>
      <c r="D75" s="134" t="s">
        <v>1789</v>
      </c>
      <c r="E75" s="134" t="s">
        <v>1791</v>
      </c>
      <c r="F75" s="135">
        <v>51480</v>
      </c>
      <c r="G75" s="135">
        <v>40154.400000000001</v>
      </c>
      <c r="H75" s="135">
        <f>F75-G75</f>
        <v>11325.599999999999</v>
      </c>
      <c r="I75" s="136">
        <v>0.255</v>
      </c>
      <c r="J75" s="137">
        <v>2</v>
      </c>
    </row>
    <row r="76" spans="2:10" s="3" customFormat="1" ht="18" customHeight="1" x14ac:dyDescent="0.3">
      <c r="B76" s="134" t="s">
        <v>1794</v>
      </c>
      <c r="C76" s="134" t="s">
        <v>1785</v>
      </c>
      <c r="D76" s="134" t="s">
        <v>1789</v>
      </c>
      <c r="E76" s="134" t="s">
        <v>1791</v>
      </c>
      <c r="F76" s="135">
        <v>39600</v>
      </c>
      <c r="G76" s="135">
        <v>38016</v>
      </c>
      <c r="H76" s="135">
        <f>F76-G76</f>
        <v>1584</v>
      </c>
      <c r="I76" s="136">
        <v>0.54400000000000004</v>
      </c>
      <c r="J76" s="137">
        <v>8</v>
      </c>
    </row>
    <row r="77" spans="2:10" s="3" customFormat="1" ht="18" customHeight="1" x14ac:dyDescent="0.3">
      <c r="B77" s="134" t="s">
        <v>1794</v>
      </c>
      <c r="C77" s="134" t="s">
        <v>1785</v>
      </c>
      <c r="D77" s="134" t="s">
        <v>1789</v>
      </c>
      <c r="E77" s="134" t="s">
        <v>1792</v>
      </c>
      <c r="F77" s="135">
        <v>79113.600000000006</v>
      </c>
      <c r="G77" s="135">
        <v>64873.152000000002</v>
      </c>
      <c r="H77" s="135">
        <f>F77-G77</f>
        <v>14240.448000000004</v>
      </c>
      <c r="I77" s="136">
        <v>0.255</v>
      </c>
      <c r="J77" s="137">
        <v>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showGridLines="0" workbookViewId="0">
      <selection activeCell="F3" sqref="F3"/>
    </sheetView>
  </sheetViews>
  <sheetFormatPr defaultColWidth="9.109375" defaultRowHeight="15.6" x14ac:dyDescent="0.3"/>
  <cols>
    <col min="1" max="1" width="5.44140625" style="142" customWidth="1"/>
    <col min="2" max="2" width="13" style="142" bestFit="1" customWidth="1"/>
    <col min="3" max="3" width="11" style="142" bestFit="1" customWidth="1"/>
    <col min="4" max="4" width="14.33203125" style="142" bestFit="1" customWidth="1"/>
    <col min="5" max="5" width="14.88671875" style="142" bestFit="1" customWidth="1"/>
    <col min="6" max="7" width="18" style="142" bestFit="1" customWidth="1"/>
    <col min="8" max="8" width="15.5546875" style="142" bestFit="1" customWidth="1"/>
    <col min="9" max="9" width="13.6640625" style="142" bestFit="1" customWidth="1"/>
    <col min="10" max="10" width="11" style="142" bestFit="1" customWidth="1"/>
    <col min="11" max="16384" width="9.109375" style="142"/>
  </cols>
  <sheetData>
    <row r="1" spans="1:12" ht="30" x14ac:dyDescent="0.5">
      <c r="A1" s="113" t="s">
        <v>1847</v>
      </c>
      <c r="B1" s="114"/>
      <c r="C1" s="3"/>
      <c r="D1" s="3"/>
      <c r="F1" s="3"/>
      <c r="G1" s="3"/>
      <c r="L1" s="633" t="s">
        <v>3016</v>
      </c>
    </row>
    <row r="2" spans="1:12" ht="30" x14ac:dyDescent="0.5">
      <c r="A2" s="113"/>
      <c r="B2" s="114"/>
      <c r="C2" s="3"/>
      <c r="D2" s="3"/>
      <c r="E2" s="3"/>
      <c r="F2" s="3"/>
      <c r="G2" s="3"/>
    </row>
    <row r="3" spans="1:12" ht="17.25" customHeight="1" x14ac:dyDescent="0.5">
      <c r="A3" s="115"/>
      <c r="B3" s="114"/>
      <c r="C3" s="269" t="s">
        <v>1771</v>
      </c>
      <c r="D3" s="3"/>
      <c r="E3" s="178" t="s">
        <v>1849</v>
      </c>
      <c r="F3" s="275">
        <f>DCOUNT($B$10:$J$78,5,$C$3:$C$4)</f>
        <v>2</v>
      </c>
      <c r="G3" s="275">
        <f>DCOUNT($B$10:$J$78,6,$C$3:$C$4)</f>
        <v>2</v>
      </c>
      <c r="H3" s="275">
        <f>DCOUNT($B$10:$J$78,7,$C$3:$C$4)</f>
        <v>2</v>
      </c>
      <c r="J3" s="276">
        <f>DCOUNT($B$10:$J$78,9,$C$3:$C$4)</f>
        <v>2</v>
      </c>
    </row>
    <row r="4" spans="1:12" ht="17.25" customHeight="1" x14ac:dyDescent="0.5">
      <c r="A4" s="115"/>
      <c r="B4" s="114"/>
      <c r="C4" s="271" t="s">
        <v>1848</v>
      </c>
      <c r="E4" s="176" t="s">
        <v>1020</v>
      </c>
      <c r="F4" s="272">
        <f>DSUM($B$10:$J$78,5,$C$3:$C$4)</f>
        <v>2653173.6</v>
      </c>
      <c r="G4" s="272">
        <f>DSUM($B$10:$J$78,6,$C$3:$C$4)</f>
        <v>2361324.5040000002</v>
      </c>
      <c r="H4" s="272">
        <f>DSUM($B$10:$J$78,7,$C$3:$C$4)</f>
        <v>291849.0959999999</v>
      </c>
      <c r="I4" s="272"/>
      <c r="J4" s="273">
        <f>DSUM($B$10:$J$78,9,$C$3:$C$4)</f>
        <v>19</v>
      </c>
    </row>
    <row r="5" spans="1:12" ht="16.5" customHeight="1" x14ac:dyDescent="0.5">
      <c r="A5" s="115"/>
      <c r="B5" s="114"/>
      <c r="C5" s="3"/>
      <c r="G5" s="3"/>
    </row>
    <row r="6" spans="1:12" ht="16.5" customHeight="1" x14ac:dyDescent="0.3"/>
    <row r="7" spans="1:12" s="3" customFormat="1" ht="16.5" customHeight="1" x14ac:dyDescent="0.3">
      <c r="B7" s="119" t="s">
        <v>1770</v>
      </c>
      <c r="C7" s="120"/>
      <c r="D7" s="120"/>
      <c r="E7" s="120"/>
      <c r="F7" s="121"/>
      <c r="G7" s="121"/>
      <c r="H7" s="121"/>
      <c r="I7" s="120"/>
      <c r="J7" s="122"/>
    </row>
    <row r="8" spans="1:12" s="3" customFormat="1" ht="17.399999999999999" x14ac:dyDescent="0.3">
      <c r="B8" s="274" t="s">
        <v>3012</v>
      </c>
      <c r="C8" s="124"/>
      <c r="D8" s="124"/>
      <c r="E8" s="124"/>
      <c r="F8" s="125"/>
      <c r="G8" s="125"/>
      <c r="H8" s="125"/>
      <c r="I8" s="124"/>
      <c r="J8" s="126"/>
    </row>
    <row r="9" spans="1:12" s="3" customFormat="1" ht="17.399999999999999" hidden="1" x14ac:dyDescent="0.3">
      <c r="B9" s="127"/>
      <c r="C9" s="128"/>
      <c r="D9" s="128"/>
      <c r="E9" s="128"/>
      <c r="F9" s="129"/>
      <c r="G9" s="129"/>
      <c r="H9" s="129"/>
      <c r="I9" s="128"/>
    </row>
    <row r="10" spans="1:12" s="3" customFormat="1" ht="39" customHeight="1" thickBot="1" x14ac:dyDescent="0.35">
      <c r="B10" s="130" t="s">
        <v>1768</v>
      </c>
      <c r="C10" s="130" t="s">
        <v>176</v>
      </c>
      <c r="D10" s="130" t="s">
        <v>175</v>
      </c>
      <c r="E10" s="130" t="s">
        <v>264</v>
      </c>
      <c r="F10" s="131" t="s">
        <v>1771</v>
      </c>
      <c r="G10" s="131" t="s">
        <v>1772</v>
      </c>
      <c r="H10" s="132" t="s">
        <v>1773</v>
      </c>
      <c r="I10" s="133" t="s">
        <v>1774</v>
      </c>
      <c r="J10" s="133" t="s">
        <v>1775</v>
      </c>
    </row>
    <row r="11" spans="1:12" s="3" customFormat="1" ht="18" customHeight="1" x14ac:dyDescent="0.3">
      <c r="B11" s="134" t="s">
        <v>1769</v>
      </c>
      <c r="C11" s="134" t="s">
        <v>1776</v>
      </c>
      <c r="D11" s="134" t="s">
        <v>1777</v>
      </c>
      <c r="E11" s="134" t="s">
        <v>1778</v>
      </c>
      <c r="F11" s="135">
        <v>47520</v>
      </c>
      <c r="G11" s="135">
        <v>45619.199999999997</v>
      </c>
      <c r="H11" s="135">
        <f t="shared" ref="H11:H74" si="0">F11-G11</f>
        <v>1900.8000000000029</v>
      </c>
      <c r="I11" s="136">
        <v>0.247</v>
      </c>
      <c r="J11" s="137">
        <v>6</v>
      </c>
    </row>
    <row r="12" spans="1:12" s="3" customFormat="1" ht="18" customHeight="1" x14ac:dyDescent="0.3">
      <c r="B12" s="134" t="s">
        <v>1769</v>
      </c>
      <c r="C12" s="134" t="s">
        <v>1776</v>
      </c>
      <c r="D12" s="134" t="s">
        <v>1777</v>
      </c>
      <c r="E12" s="134" t="s">
        <v>1779</v>
      </c>
      <c r="F12" s="135">
        <v>91463.039999999994</v>
      </c>
      <c r="G12" s="135">
        <v>72255.801599999992</v>
      </c>
      <c r="H12" s="135">
        <f t="shared" si="0"/>
        <v>19207.238400000002</v>
      </c>
      <c r="I12" s="136">
        <v>0.35599999999999998</v>
      </c>
      <c r="J12" s="137">
        <v>8</v>
      </c>
    </row>
    <row r="13" spans="1:12" s="3" customFormat="1" ht="18" customHeight="1" x14ac:dyDescent="0.3">
      <c r="B13" s="134" t="s">
        <v>1769</v>
      </c>
      <c r="C13" s="134" t="s">
        <v>1776</v>
      </c>
      <c r="D13" s="134" t="s">
        <v>1777</v>
      </c>
      <c r="E13" s="134" t="s">
        <v>1778</v>
      </c>
      <c r="F13" s="135">
        <v>356040</v>
      </c>
      <c r="G13" s="135">
        <v>259909.2</v>
      </c>
      <c r="H13" s="135">
        <f t="shared" si="0"/>
        <v>96130.799999999988</v>
      </c>
      <c r="I13" s="136">
        <v>0.255</v>
      </c>
      <c r="J13" s="137">
        <v>2</v>
      </c>
    </row>
    <row r="14" spans="1:12" s="3" customFormat="1" ht="18" customHeight="1" x14ac:dyDescent="0.3">
      <c r="B14" s="134" t="s">
        <v>1769</v>
      </c>
      <c r="C14" s="134" t="s">
        <v>1776</v>
      </c>
      <c r="D14" s="134" t="s">
        <v>1777</v>
      </c>
      <c r="E14" s="134" t="s">
        <v>1779</v>
      </c>
      <c r="F14" s="135">
        <v>154275.84</v>
      </c>
      <c r="G14" s="135">
        <v>143476.5312</v>
      </c>
      <c r="H14" s="135">
        <f t="shared" si="0"/>
        <v>10799.308799999999</v>
      </c>
      <c r="I14" s="136">
        <v>0.65</v>
      </c>
      <c r="J14" s="137">
        <v>9</v>
      </c>
    </row>
    <row r="15" spans="1:12" s="3" customFormat="1" ht="18" customHeight="1" x14ac:dyDescent="0.3">
      <c r="B15" s="134" t="s">
        <v>1769</v>
      </c>
      <c r="C15" s="134" t="s">
        <v>1776</v>
      </c>
      <c r="D15" s="134" t="s">
        <v>1777</v>
      </c>
      <c r="E15" s="134" t="s">
        <v>1778</v>
      </c>
      <c r="F15" s="135">
        <v>113923.584</v>
      </c>
      <c r="G15" s="135">
        <v>93417.338879999996</v>
      </c>
      <c r="H15" s="135">
        <f t="shared" si="0"/>
        <v>20506.245120000007</v>
      </c>
      <c r="I15" s="136">
        <v>0.255</v>
      </c>
      <c r="J15" s="137">
        <v>6</v>
      </c>
    </row>
    <row r="16" spans="1:12" s="3" customFormat="1" ht="18" customHeight="1" x14ac:dyDescent="0.3">
      <c r="B16" s="134" t="s">
        <v>1769</v>
      </c>
      <c r="C16" s="134" t="s">
        <v>1776</v>
      </c>
      <c r="D16" s="134" t="s">
        <v>1780</v>
      </c>
      <c r="E16" s="134" t="s">
        <v>1779</v>
      </c>
      <c r="F16" s="135">
        <v>94936.320000000007</v>
      </c>
      <c r="G16" s="135">
        <v>77847.782399999996</v>
      </c>
      <c r="H16" s="135">
        <f t="shared" si="0"/>
        <v>17088.537600000011</v>
      </c>
      <c r="I16" s="136">
        <v>0.315</v>
      </c>
      <c r="J16" s="137">
        <v>9</v>
      </c>
    </row>
    <row r="17" spans="2:10" s="3" customFormat="1" ht="18" customHeight="1" x14ac:dyDescent="0.3">
      <c r="B17" s="134" t="s">
        <v>1769</v>
      </c>
      <c r="C17" s="134" t="s">
        <v>1776</v>
      </c>
      <c r="D17" s="134" t="s">
        <v>1780</v>
      </c>
      <c r="E17" s="134" t="s">
        <v>1778</v>
      </c>
      <c r="F17" s="135">
        <v>90305.279999999999</v>
      </c>
      <c r="G17" s="135">
        <v>70438.118399999992</v>
      </c>
      <c r="H17" s="135">
        <f t="shared" si="0"/>
        <v>19867.161600000007</v>
      </c>
      <c r="I17" s="136">
        <v>0.255</v>
      </c>
      <c r="J17" s="137"/>
    </row>
    <row r="18" spans="2:10" s="3" customFormat="1" ht="18" customHeight="1" x14ac:dyDescent="0.3">
      <c r="B18" s="134" t="s">
        <v>1769</v>
      </c>
      <c r="C18" s="134" t="s">
        <v>1776</v>
      </c>
      <c r="D18" s="134" t="s">
        <v>1780</v>
      </c>
      <c r="E18" s="134" t="s">
        <v>1779</v>
      </c>
      <c r="F18" s="135">
        <v>394275.84000000003</v>
      </c>
      <c r="G18" s="135">
        <v>366676.53120000003</v>
      </c>
      <c r="H18" s="135">
        <f t="shared" si="0"/>
        <v>27599.308799999999</v>
      </c>
      <c r="I18" s="136">
        <v>0.154</v>
      </c>
      <c r="J18" s="137">
        <v>0</v>
      </c>
    </row>
    <row r="19" spans="2:10" s="3" customFormat="1" ht="18" customHeight="1" x14ac:dyDescent="0.3">
      <c r="B19" s="134" t="s">
        <v>1769</v>
      </c>
      <c r="C19" s="134" t="s">
        <v>1776</v>
      </c>
      <c r="D19" s="134" t="s">
        <v>1780</v>
      </c>
      <c r="E19" s="134" t="s">
        <v>1778</v>
      </c>
      <c r="F19" s="135">
        <v>116121.60000000001</v>
      </c>
      <c r="G19" s="135">
        <v>84768.767999999996</v>
      </c>
      <c r="H19" s="135">
        <f t="shared" si="0"/>
        <v>31352.832000000009</v>
      </c>
      <c r="I19" s="136">
        <v>0.13400000000000001</v>
      </c>
      <c r="J19" s="137">
        <v>3</v>
      </c>
    </row>
    <row r="20" spans="2:10" s="3" customFormat="1" ht="18" customHeight="1" x14ac:dyDescent="0.3">
      <c r="B20" s="134" t="s">
        <v>1769</v>
      </c>
      <c r="C20" s="134" t="s">
        <v>1776</v>
      </c>
      <c r="D20" s="134" t="s">
        <v>1781</v>
      </c>
      <c r="E20" s="134" t="s">
        <v>1778</v>
      </c>
      <c r="F20" s="135">
        <v>92620.800000000003</v>
      </c>
      <c r="G20" s="135">
        <v>82432.511999999988</v>
      </c>
      <c r="H20" s="135">
        <f t="shared" si="0"/>
        <v>10188.288000000015</v>
      </c>
      <c r="I20" s="136">
        <v>0.187</v>
      </c>
      <c r="J20" s="137">
        <v>3</v>
      </c>
    </row>
    <row r="21" spans="2:10" s="3" customFormat="1" ht="18" customHeight="1" x14ac:dyDescent="0.3">
      <c r="B21" s="134" t="s">
        <v>1769</v>
      </c>
      <c r="C21" s="134" t="s">
        <v>1776</v>
      </c>
      <c r="D21" s="134" t="s">
        <v>1781</v>
      </c>
      <c r="E21" s="134" t="s">
        <v>1779</v>
      </c>
      <c r="F21" s="135">
        <v>69465.600000000006</v>
      </c>
      <c r="G21" s="135">
        <v>66686.975999999995</v>
      </c>
      <c r="H21" s="135">
        <f t="shared" si="0"/>
        <v>2778.6240000000107</v>
      </c>
      <c r="I21" s="136">
        <v>0.54400000000000004</v>
      </c>
      <c r="J21" s="137">
        <v>9</v>
      </c>
    </row>
    <row r="22" spans="2:10" s="3" customFormat="1" ht="18" customHeight="1" x14ac:dyDescent="0.3">
      <c r="B22" s="134" t="s">
        <v>1769</v>
      </c>
      <c r="C22" s="134" t="s">
        <v>1776</v>
      </c>
      <c r="D22" s="134" t="s">
        <v>1781</v>
      </c>
      <c r="E22" s="134" t="s">
        <v>1778</v>
      </c>
      <c r="F22" s="135">
        <v>261004.79999999999</v>
      </c>
      <c r="G22" s="135">
        <v>221854.07999999999</v>
      </c>
      <c r="H22" s="135">
        <f t="shared" si="0"/>
        <v>39150.720000000001</v>
      </c>
      <c r="I22" s="136">
        <v>0.23300000000000001</v>
      </c>
      <c r="J22" s="137">
        <v>6</v>
      </c>
    </row>
    <row r="23" spans="2:10" s="3" customFormat="1" ht="18" customHeight="1" x14ac:dyDescent="0.3">
      <c r="B23" s="134" t="s">
        <v>1769</v>
      </c>
      <c r="C23" s="134" t="s">
        <v>1776</v>
      </c>
      <c r="D23" s="134" t="s">
        <v>1781</v>
      </c>
      <c r="E23" s="134" t="s">
        <v>1779</v>
      </c>
      <c r="F23" s="135">
        <v>57024</v>
      </c>
      <c r="G23" s="135">
        <v>54743.040000000001</v>
      </c>
      <c r="H23" s="135">
        <f t="shared" si="0"/>
        <v>2280.9599999999991</v>
      </c>
      <c r="I23" s="136">
        <v>0.56399999999999995</v>
      </c>
      <c r="J23" s="137">
        <v>8</v>
      </c>
    </row>
    <row r="24" spans="2:10" s="3" customFormat="1" ht="18" customHeight="1" x14ac:dyDescent="0.3">
      <c r="B24" s="134" t="s">
        <v>1782</v>
      </c>
      <c r="C24" s="134" t="s">
        <v>1783</v>
      </c>
      <c r="D24" s="134" t="s">
        <v>1784</v>
      </c>
      <c r="E24" s="134" t="s">
        <v>1779</v>
      </c>
      <c r="F24" s="135">
        <v>181988</v>
      </c>
      <c r="G24" s="135">
        <v>205646.44</v>
      </c>
      <c r="H24" s="135">
        <f t="shared" si="0"/>
        <v>-23658.440000000002</v>
      </c>
      <c r="I24" s="136">
        <v>0.432</v>
      </c>
      <c r="J24" s="137">
        <v>2</v>
      </c>
    </row>
    <row r="25" spans="2:10" s="3" customFormat="1" ht="18" customHeight="1" x14ac:dyDescent="0.3">
      <c r="B25" s="134" t="s">
        <v>1782</v>
      </c>
      <c r="C25" s="134" t="s">
        <v>1783</v>
      </c>
      <c r="D25" s="134" t="s">
        <v>1784</v>
      </c>
      <c r="E25" s="134" t="s">
        <v>1779</v>
      </c>
      <c r="F25" s="135">
        <v>121197.6</v>
      </c>
      <c r="G25" s="135">
        <v>112713.76800000001</v>
      </c>
      <c r="H25" s="135">
        <f t="shared" si="0"/>
        <v>8483.8319999999949</v>
      </c>
      <c r="I25" s="136">
        <v>0.154</v>
      </c>
      <c r="J25" s="137">
        <v>4</v>
      </c>
    </row>
    <row r="26" spans="2:10" s="3" customFormat="1" ht="18" customHeight="1" x14ac:dyDescent="0.3">
      <c r="B26" s="134" t="s">
        <v>1782</v>
      </c>
      <c r="C26" s="134" t="s">
        <v>1783</v>
      </c>
      <c r="D26" s="134" t="s">
        <v>1784</v>
      </c>
      <c r="E26" s="134" t="s">
        <v>1778</v>
      </c>
      <c r="F26" s="135">
        <v>432900</v>
      </c>
      <c r="G26" s="135">
        <v>367965</v>
      </c>
      <c r="H26" s="135">
        <f t="shared" si="0"/>
        <v>64935</v>
      </c>
      <c r="I26" s="136">
        <v>0.247</v>
      </c>
      <c r="J26" s="137">
        <v>2</v>
      </c>
    </row>
    <row r="27" spans="2:10" s="3" customFormat="1" ht="18" customHeight="1" x14ac:dyDescent="0.3">
      <c r="B27" s="134" t="s">
        <v>1782</v>
      </c>
      <c r="C27" s="134" t="s">
        <v>1783</v>
      </c>
      <c r="D27" s="134" t="s">
        <v>1784</v>
      </c>
      <c r="E27" s="134" t="s">
        <v>1778</v>
      </c>
      <c r="F27" s="135">
        <v>96768</v>
      </c>
      <c r="G27" s="135">
        <v>70640.639999999999</v>
      </c>
      <c r="H27" s="135">
        <f t="shared" si="0"/>
        <v>26127.360000000001</v>
      </c>
      <c r="I27" s="136">
        <v>0.318</v>
      </c>
      <c r="J27" s="137">
        <v>2</v>
      </c>
    </row>
    <row r="28" spans="2:10" s="3" customFormat="1" ht="18" customHeight="1" x14ac:dyDescent="0.3">
      <c r="B28" s="134" t="s">
        <v>1782</v>
      </c>
      <c r="C28" s="134" t="s">
        <v>1785</v>
      </c>
      <c r="D28" s="134" t="s">
        <v>1786</v>
      </c>
      <c r="E28" s="134" t="s">
        <v>1779</v>
      </c>
      <c r="F28" s="135">
        <v>121197.6</v>
      </c>
      <c r="G28" s="135">
        <v>112713.76800000001</v>
      </c>
      <c r="H28" s="135">
        <f t="shared" si="0"/>
        <v>8483.8319999999949</v>
      </c>
      <c r="I28" s="136">
        <v>0.45</v>
      </c>
      <c r="J28" s="137">
        <v>13</v>
      </c>
    </row>
    <row r="29" spans="2:10" s="3" customFormat="1" ht="18" customHeight="1" x14ac:dyDescent="0.3">
      <c r="B29" s="134" t="s">
        <v>1782</v>
      </c>
      <c r="C29" s="134" t="s">
        <v>1785</v>
      </c>
      <c r="D29" s="134" t="s">
        <v>1786</v>
      </c>
      <c r="E29" s="134" t="s">
        <v>1779</v>
      </c>
      <c r="F29" s="135">
        <v>121197.6</v>
      </c>
      <c r="G29" s="135">
        <v>112713.76800000001</v>
      </c>
      <c r="H29" s="135">
        <f t="shared" si="0"/>
        <v>8483.8319999999949</v>
      </c>
      <c r="I29" s="136">
        <v>0.23300000000000001</v>
      </c>
      <c r="J29" s="137"/>
    </row>
    <row r="30" spans="2:10" s="3" customFormat="1" ht="18" customHeight="1" x14ac:dyDescent="0.3">
      <c r="B30" s="134" t="s">
        <v>1782</v>
      </c>
      <c r="C30" s="134" t="s">
        <v>1785</v>
      </c>
      <c r="D30" s="134" t="s">
        <v>1786</v>
      </c>
      <c r="E30" s="134" t="s">
        <v>1779</v>
      </c>
      <c r="F30" s="135">
        <v>110772</v>
      </c>
      <c r="G30" s="135">
        <v>94156.2</v>
      </c>
      <c r="H30" s="135">
        <f t="shared" si="0"/>
        <v>16615.800000000003</v>
      </c>
      <c r="I30" s="136">
        <v>0.39800000000000002</v>
      </c>
      <c r="J30" s="137">
        <v>9</v>
      </c>
    </row>
    <row r="31" spans="2:10" s="3" customFormat="1" ht="18" customHeight="1" x14ac:dyDescent="0.3">
      <c r="B31" s="134" t="s">
        <v>1782</v>
      </c>
      <c r="C31" s="134" t="s">
        <v>1783</v>
      </c>
      <c r="D31" s="134" t="s">
        <v>1787</v>
      </c>
      <c r="E31" s="134" t="s">
        <v>1778</v>
      </c>
      <c r="F31" s="135">
        <v>128563.2</v>
      </c>
      <c r="G31" s="135">
        <v>119563.776</v>
      </c>
      <c r="H31" s="135">
        <f t="shared" si="0"/>
        <v>8999.4239999999991</v>
      </c>
      <c r="I31" s="136">
        <v>0.39800000000000002</v>
      </c>
      <c r="J31" s="137">
        <v>8</v>
      </c>
    </row>
    <row r="32" spans="2:10" s="3" customFormat="1" ht="18" customHeight="1" x14ac:dyDescent="0.3">
      <c r="B32" s="134" t="s">
        <v>1782</v>
      </c>
      <c r="C32" s="134" t="s">
        <v>1783</v>
      </c>
      <c r="D32" s="134" t="s">
        <v>1787</v>
      </c>
      <c r="E32" s="134" t="s">
        <v>1778</v>
      </c>
      <c r="F32" s="135">
        <v>128563.2</v>
      </c>
      <c r="G32" s="135">
        <v>119563.776</v>
      </c>
      <c r="H32" s="135">
        <f t="shared" si="0"/>
        <v>8999.4239999999991</v>
      </c>
      <c r="I32" s="136">
        <v>0.23300000000000001</v>
      </c>
      <c r="J32" s="137">
        <v>1</v>
      </c>
    </row>
    <row r="33" spans="2:10" s="3" customFormat="1" ht="18" customHeight="1" x14ac:dyDescent="0.3">
      <c r="B33" s="134" t="s">
        <v>1782</v>
      </c>
      <c r="C33" s="134" t="s">
        <v>1783</v>
      </c>
      <c r="D33" s="134" t="s">
        <v>1788</v>
      </c>
      <c r="E33" s="134" t="s">
        <v>1778</v>
      </c>
      <c r="F33" s="135">
        <v>76032</v>
      </c>
      <c r="G33" s="135">
        <v>75271.679999999993</v>
      </c>
      <c r="H33" s="135">
        <f t="shared" si="0"/>
        <v>760.32000000000698</v>
      </c>
      <c r="I33" s="136">
        <v>0.65</v>
      </c>
      <c r="J33" s="137">
        <v>4</v>
      </c>
    </row>
    <row r="34" spans="2:10" s="3" customFormat="1" ht="18" customHeight="1" x14ac:dyDescent="0.3">
      <c r="B34" s="134" t="s">
        <v>1782</v>
      </c>
      <c r="C34" s="134" t="s">
        <v>1785</v>
      </c>
      <c r="D34" s="134" t="s">
        <v>1789</v>
      </c>
      <c r="E34" s="134" t="s">
        <v>1779</v>
      </c>
      <c r="F34" s="135">
        <v>110772</v>
      </c>
      <c r="G34" s="135">
        <v>125172.36</v>
      </c>
      <c r="H34" s="135">
        <f t="shared" si="0"/>
        <v>-14400.36</v>
      </c>
      <c r="I34" s="136">
        <v>0.23300000000000001</v>
      </c>
      <c r="J34" s="137"/>
    </row>
    <row r="35" spans="2:10" s="3" customFormat="1" ht="18" customHeight="1" x14ac:dyDescent="0.3">
      <c r="B35" s="134" t="s">
        <v>1782</v>
      </c>
      <c r="C35" s="134" t="s">
        <v>1785</v>
      </c>
      <c r="D35" s="134" t="s">
        <v>1789</v>
      </c>
      <c r="E35" s="134" t="s">
        <v>1779</v>
      </c>
      <c r="F35" s="135">
        <v>110772</v>
      </c>
      <c r="G35" s="135">
        <v>125172.36</v>
      </c>
      <c r="H35" s="135">
        <f t="shared" si="0"/>
        <v>-14400.36</v>
      </c>
      <c r="I35" s="136">
        <v>0.318</v>
      </c>
      <c r="J35" s="137">
        <v>1</v>
      </c>
    </row>
    <row r="36" spans="2:10" s="3" customFormat="1" ht="18" customHeight="1" x14ac:dyDescent="0.3">
      <c r="B36" s="134" t="s">
        <v>1782</v>
      </c>
      <c r="C36" s="134" t="s">
        <v>1785</v>
      </c>
      <c r="D36" s="134" t="s">
        <v>1789</v>
      </c>
      <c r="E36" s="134" t="s">
        <v>1779</v>
      </c>
      <c r="F36" s="135">
        <v>91224</v>
      </c>
      <c r="G36" s="135">
        <v>66593.52</v>
      </c>
      <c r="H36" s="135">
        <f t="shared" si="0"/>
        <v>24630.479999999996</v>
      </c>
      <c r="I36" s="136">
        <v>0.65</v>
      </c>
      <c r="J36" s="137">
        <v>6</v>
      </c>
    </row>
    <row r="37" spans="2:10" s="3" customFormat="1" ht="18" customHeight="1" x14ac:dyDescent="0.3">
      <c r="B37" s="134" t="s">
        <v>1782</v>
      </c>
      <c r="C37" s="134" t="s">
        <v>1785</v>
      </c>
      <c r="D37" s="134" t="s">
        <v>1789</v>
      </c>
      <c r="E37" s="134" t="s">
        <v>1779</v>
      </c>
      <c r="F37" s="135">
        <v>91224</v>
      </c>
      <c r="G37" s="135">
        <v>127713.60000000001</v>
      </c>
      <c r="H37" s="135">
        <f t="shared" si="0"/>
        <v>-36489.600000000006</v>
      </c>
      <c r="I37" s="136">
        <v>0.247</v>
      </c>
      <c r="J37" s="137">
        <v>4</v>
      </c>
    </row>
    <row r="38" spans="2:10" s="3" customFormat="1" ht="18" customHeight="1" x14ac:dyDescent="0.3">
      <c r="B38" s="134" t="s">
        <v>1782</v>
      </c>
      <c r="C38" s="134" t="s">
        <v>1785</v>
      </c>
      <c r="D38" s="134" t="s">
        <v>1789</v>
      </c>
      <c r="E38" s="134" t="s">
        <v>1779</v>
      </c>
      <c r="F38" s="135">
        <v>71676</v>
      </c>
      <c r="G38" s="135">
        <v>70959.240000000005</v>
      </c>
      <c r="H38" s="135">
        <f t="shared" si="0"/>
        <v>716.75999999999476</v>
      </c>
      <c r="I38" s="136">
        <v>0.13400000000000001</v>
      </c>
      <c r="J38" s="137">
        <v>9</v>
      </c>
    </row>
    <row r="39" spans="2:10" s="3" customFormat="1" ht="18" customHeight="1" x14ac:dyDescent="0.3">
      <c r="B39" s="134" t="s">
        <v>1782</v>
      </c>
      <c r="C39" s="134" t="s">
        <v>1785</v>
      </c>
      <c r="D39" s="134" t="s">
        <v>1789</v>
      </c>
      <c r="E39" s="134" t="s">
        <v>1778</v>
      </c>
      <c r="F39" s="135">
        <v>217504</v>
      </c>
      <c r="G39" s="135">
        <v>184878.4</v>
      </c>
      <c r="H39" s="135">
        <f t="shared" si="0"/>
        <v>32625.600000000006</v>
      </c>
      <c r="I39" s="136">
        <v>0.23300000000000001</v>
      </c>
      <c r="J39" s="137">
        <v>9</v>
      </c>
    </row>
    <row r="40" spans="2:10" s="3" customFormat="1" ht="18" customHeight="1" x14ac:dyDescent="0.3">
      <c r="B40" s="134" t="s">
        <v>1782</v>
      </c>
      <c r="C40" s="134" t="s">
        <v>1785</v>
      </c>
      <c r="D40" s="134" t="s">
        <v>1789</v>
      </c>
      <c r="E40" s="134" t="s">
        <v>1778</v>
      </c>
      <c r="F40" s="135">
        <v>128563.2</v>
      </c>
      <c r="G40" s="135">
        <v>119563.776</v>
      </c>
      <c r="H40" s="135">
        <f t="shared" si="0"/>
        <v>8999.4239999999991</v>
      </c>
      <c r="I40" s="136">
        <v>0.154</v>
      </c>
      <c r="J40" s="137">
        <v>3</v>
      </c>
    </row>
    <row r="41" spans="2:10" s="3" customFormat="1" ht="18" customHeight="1" x14ac:dyDescent="0.3">
      <c r="B41" s="134" t="s">
        <v>1790</v>
      </c>
      <c r="C41" s="134" t="s">
        <v>1776</v>
      </c>
      <c r="D41" s="134" t="s">
        <v>1777</v>
      </c>
      <c r="E41" s="134" t="s">
        <v>1791</v>
      </c>
      <c r="F41" s="135">
        <v>94936.320000000007</v>
      </c>
      <c r="G41" s="135">
        <v>77847.782399999996</v>
      </c>
      <c r="H41" s="135">
        <f t="shared" si="0"/>
        <v>17088.537600000011</v>
      </c>
      <c r="I41" s="136">
        <v>0.56399999999999995</v>
      </c>
      <c r="J41" s="137">
        <v>8</v>
      </c>
    </row>
    <row r="42" spans="2:10" s="3" customFormat="1" ht="18" customHeight="1" x14ac:dyDescent="0.3">
      <c r="B42" s="134" t="s">
        <v>1790</v>
      </c>
      <c r="C42" s="134" t="s">
        <v>1776</v>
      </c>
      <c r="D42" s="134" t="s">
        <v>1777</v>
      </c>
      <c r="E42" s="134" t="s">
        <v>1792</v>
      </c>
      <c r="F42" s="135">
        <v>90305.279999999999</v>
      </c>
      <c r="G42" s="135">
        <v>70438.118399999992</v>
      </c>
      <c r="H42" s="135">
        <f t="shared" si="0"/>
        <v>19867.161600000007</v>
      </c>
      <c r="I42" s="138">
        <v>0.26500000000000001</v>
      </c>
      <c r="J42" s="137">
        <v>2</v>
      </c>
    </row>
    <row r="43" spans="2:10" s="3" customFormat="1" ht="18" customHeight="1" x14ac:dyDescent="0.3">
      <c r="B43" s="134" t="s">
        <v>1790</v>
      </c>
      <c r="C43" s="134" t="s">
        <v>1776</v>
      </c>
      <c r="D43" s="134" t="s">
        <v>1777</v>
      </c>
      <c r="E43" s="134" t="s">
        <v>1791</v>
      </c>
      <c r="F43" s="135">
        <v>519480</v>
      </c>
      <c r="G43" s="135">
        <v>441558</v>
      </c>
      <c r="H43" s="135">
        <f t="shared" si="0"/>
        <v>77922</v>
      </c>
      <c r="I43" s="136">
        <v>0.39800000000000002</v>
      </c>
      <c r="J43" s="137">
        <v>6</v>
      </c>
    </row>
    <row r="44" spans="2:10" s="3" customFormat="1" ht="18" customHeight="1" x14ac:dyDescent="0.3">
      <c r="B44" s="134" t="s">
        <v>1790</v>
      </c>
      <c r="C44" s="134" t="s">
        <v>1776</v>
      </c>
      <c r="D44" s="134" t="s">
        <v>1777</v>
      </c>
      <c r="E44" s="134" t="s">
        <v>1792</v>
      </c>
      <c r="F44" s="135">
        <v>91238.399999999994</v>
      </c>
      <c r="G44" s="135">
        <v>90326.015999999989</v>
      </c>
      <c r="H44" s="135">
        <f t="shared" si="0"/>
        <v>912.38400000000547</v>
      </c>
      <c r="I44" s="136">
        <v>0.315</v>
      </c>
      <c r="J44" s="137">
        <v>9</v>
      </c>
    </row>
    <row r="45" spans="2:10" s="3" customFormat="1" ht="18" customHeight="1" x14ac:dyDescent="0.3">
      <c r="B45" s="134" t="s">
        <v>1790</v>
      </c>
      <c r="C45" s="134" t="s">
        <v>1776</v>
      </c>
      <c r="D45" s="134" t="s">
        <v>1780</v>
      </c>
      <c r="E45" s="134" t="s">
        <v>1792</v>
      </c>
      <c r="F45" s="135">
        <v>92620.800000000003</v>
      </c>
      <c r="G45" s="135">
        <v>104661.504</v>
      </c>
      <c r="H45" s="135">
        <f t="shared" si="0"/>
        <v>-12040.703999999998</v>
      </c>
      <c r="I45" s="136">
        <v>0.255</v>
      </c>
      <c r="J45" s="137">
        <v>9</v>
      </c>
    </row>
    <row r="46" spans="2:10" s="3" customFormat="1" ht="18" customHeight="1" x14ac:dyDescent="0.3">
      <c r="B46" s="134" t="s">
        <v>1790</v>
      </c>
      <c r="C46" s="134" t="s">
        <v>1776</v>
      </c>
      <c r="D46" s="134" t="s">
        <v>1780</v>
      </c>
      <c r="E46" s="134" t="s">
        <v>1791</v>
      </c>
      <c r="F46" s="135">
        <v>69465.600000000006</v>
      </c>
      <c r="G46" s="135">
        <v>66686.975999999995</v>
      </c>
      <c r="H46" s="135">
        <f t="shared" si="0"/>
        <v>2778.6240000000107</v>
      </c>
      <c r="I46" s="136">
        <v>0.56399999999999995</v>
      </c>
      <c r="J46" s="137">
        <v>8</v>
      </c>
    </row>
    <row r="47" spans="2:10" s="3" customFormat="1" ht="18" customHeight="1" x14ac:dyDescent="0.3">
      <c r="B47" s="134" t="s">
        <v>1790</v>
      </c>
      <c r="C47" s="134" t="s">
        <v>1776</v>
      </c>
      <c r="D47" s="134" t="s">
        <v>1780</v>
      </c>
      <c r="E47" s="134" t="s">
        <v>1792</v>
      </c>
      <c r="F47" s="135">
        <v>154275.84</v>
      </c>
      <c r="G47" s="135">
        <v>143476.5312</v>
      </c>
      <c r="H47" s="135">
        <f t="shared" si="0"/>
        <v>10799.308799999999</v>
      </c>
      <c r="I47" s="136">
        <v>0.318</v>
      </c>
      <c r="J47" s="137">
        <v>4</v>
      </c>
    </row>
    <row r="48" spans="2:10" s="3" customFormat="1" ht="18" customHeight="1" x14ac:dyDescent="0.3">
      <c r="B48" s="134" t="s">
        <v>1790</v>
      </c>
      <c r="C48" s="134" t="s">
        <v>1776</v>
      </c>
      <c r="D48" s="134" t="s">
        <v>1780</v>
      </c>
      <c r="E48" s="134" t="s">
        <v>1791</v>
      </c>
      <c r="F48" s="135">
        <v>113923.584</v>
      </c>
      <c r="G48" s="135">
        <v>93417.338879999996</v>
      </c>
      <c r="H48" s="135">
        <f t="shared" si="0"/>
        <v>20506.245120000007</v>
      </c>
      <c r="I48" s="136">
        <v>0.187</v>
      </c>
      <c r="J48" s="137">
        <v>5</v>
      </c>
    </row>
    <row r="49" spans="2:10" s="3" customFormat="1" ht="18" customHeight="1" x14ac:dyDescent="0.3">
      <c r="B49" s="134" t="s">
        <v>1790</v>
      </c>
      <c r="C49" s="134" t="s">
        <v>1776</v>
      </c>
      <c r="D49" s="134" t="s">
        <v>1781</v>
      </c>
      <c r="E49" s="134" t="s">
        <v>1792</v>
      </c>
      <c r="F49" s="135">
        <v>94936.320000000007</v>
      </c>
      <c r="G49" s="135">
        <v>77847.782399999996</v>
      </c>
      <c r="H49" s="135">
        <f t="shared" si="0"/>
        <v>17088.537600000011</v>
      </c>
      <c r="I49" s="136">
        <v>0.13400000000000001</v>
      </c>
      <c r="J49" s="137">
        <v>4</v>
      </c>
    </row>
    <row r="50" spans="2:10" s="3" customFormat="1" ht="18" customHeight="1" x14ac:dyDescent="0.3">
      <c r="B50" s="134" t="s">
        <v>1790</v>
      </c>
      <c r="C50" s="134" t="s">
        <v>1776</v>
      </c>
      <c r="D50" s="134" t="s">
        <v>1781</v>
      </c>
      <c r="E50" s="134" t="s">
        <v>1791</v>
      </c>
      <c r="F50" s="135">
        <v>91463.039999999994</v>
      </c>
      <c r="G50" s="135">
        <v>72255.801599999992</v>
      </c>
      <c r="H50" s="135">
        <f t="shared" si="0"/>
        <v>19207.238400000002</v>
      </c>
      <c r="I50" s="136">
        <v>0.27600000000000002</v>
      </c>
      <c r="J50" s="137">
        <v>5</v>
      </c>
    </row>
    <row r="51" spans="2:10" s="3" customFormat="1" ht="18" customHeight="1" x14ac:dyDescent="0.3">
      <c r="B51" s="134" t="s">
        <v>1790</v>
      </c>
      <c r="C51" s="134" t="s">
        <v>1776</v>
      </c>
      <c r="D51" s="134" t="s">
        <v>1781</v>
      </c>
      <c r="E51" s="134" t="s">
        <v>1792</v>
      </c>
      <c r="F51" s="135">
        <v>1447185.6</v>
      </c>
      <c r="G51" s="135">
        <v>1287995.1840000001</v>
      </c>
      <c r="H51" s="135">
        <f t="shared" si="0"/>
        <v>159190.41599999997</v>
      </c>
      <c r="I51" s="136">
        <v>0.23300000000000001</v>
      </c>
      <c r="J51" s="137">
        <v>9</v>
      </c>
    </row>
    <row r="52" spans="2:10" s="3" customFormat="1" ht="18" customHeight="1" x14ac:dyDescent="0.3">
      <c r="B52" s="134" t="s">
        <v>1790</v>
      </c>
      <c r="C52" s="134" t="s">
        <v>1776</v>
      </c>
      <c r="D52" s="134" t="s">
        <v>1781</v>
      </c>
      <c r="E52" s="134" t="s">
        <v>1791</v>
      </c>
      <c r="F52" s="135">
        <v>154275.84</v>
      </c>
      <c r="G52" s="135">
        <v>143476.5312</v>
      </c>
      <c r="H52" s="135">
        <f t="shared" si="0"/>
        <v>10799.308799999999</v>
      </c>
      <c r="I52" s="136">
        <v>0.247</v>
      </c>
      <c r="J52" s="137">
        <v>8</v>
      </c>
    </row>
    <row r="53" spans="2:10" s="3" customFormat="1" ht="18" customHeight="1" x14ac:dyDescent="0.3">
      <c r="B53" s="134" t="s">
        <v>1790</v>
      </c>
      <c r="C53" s="134" t="s">
        <v>1776</v>
      </c>
      <c r="D53" s="134" t="s">
        <v>1781</v>
      </c>
      <c r="E53" s="134" t="s">
        <v>1792</v>
      </c>
      <c r="F53" s="135">
        <v>113923.584</v>
      </c>
      <c r="G53" s="135">
        <v>93417.338879999996</v>
      </c>
      <c r="H53" s="135">
        <f t="shared" si="0"/>
        <v>20506.245120000007</v>
      </c>
      <c r="I53" s="136">
        <v>0.35599999999999998</v>
      </c>
      <c r="J53" s="137">
        <v>2</v>
      </c>
    </row>
    <row r="54" spans="2:10" s="3" customFormat="1" ht="18" customHeight="1" x14ac:dyDescent="0.3">
      <c r="B54" s="134" t="s">
        <v>1793</v>
      </c>
      <c r="C54" s="134" t="s">
        <v>1783</v>
      </c>
      <c r="D54" s="134" t="s">
        <v>1784</v>
      </c>
      <c r="E54" s="134" t="s">
        <v>1778</v>
      </c>
      <c r="F54" s="135">
        <v>1205988</v>
      </c>
      <c r="G54" s="135">
        <v>1073329.32</v>
      </c>
      <c r="H54" s="135">
        <f t="shared" si="0"/>
        <v>132658.67999999993</v>
      </c>
      <c r="I54" s="136">
        <v>0.432</v>
      </c>
      <c r="J54" s="137">
        <v>10</v>
      </c>
    </row>
    <row r="55" spans="2:10" s="3" customFormat="1" ht="18" customHeight="1" x14ac:dyDescent="0.3">
      <c r="B55" s="134" t="s">
        <v>1793</v>
      </c>
      <c r="C55" s="134" t="s">
        <v>1783</v>
      </c>
      <c r="D55" s="134" t="s">
        <v>1784</v>
      </c>
      <c r="E55" s="134" t="s">
        <v>1778</v>
      </c>
      <c r="F55" s="135">
        <f>128563.2+200000</f>
        <v>328563.20000000001</v>
      </c>
      <c r="G55" s="135">
        <v>305563.77600000001</v>
      </c>
      <c r="H55" s="135">
        <f t="shared" si="0"/>
        <v>22999.423999999999</v>
      </c>
      <c r="I55" s="138">
        <v>0.39800000000000002</v>
      </c>
      <c r="J55" s="137">
        <v>3</v>
      </c>
    </row>
    <row r="56" spans="2:10" s="3" customFormat="1" ht="18" customHeight="1" x14ac:dyDescent="0.3">
      <c r="B56" s="134" t="s">
        <v>1794</v>
      </c>
      <c r="C56" s="134" t="s">
        <v>1783</v>
      </c>
      <c r="D56" s="134" t="s">
        <v>1784</v>
      </c>
      <c r="E56" s="134" t="s">
        <v>1779</v>
      </c>
      <c r="F56" s="135">
        <v>71676</v>
      </c>
      <c r="G56" s="135">
        <v>70959.240000000005</v>
      </c>
      <c r="H56" s="135">
        <f t="shared" si="0"/>
        <v>716.75999999999476</v>
      </c>
      <c r="I56" s="136">
        <v>0.53300000000000003</v>
      </c>
      <c r="J56" s="137">
        <v>1</v>
      </c>
    </row>
    <row r="57" spans="2:10" s="3" customFormat="1" ht="18" customHeight="1" x14ac:dyDescent="0.3">
      <c r="B57" s="134" t="s">
        <v>1794</v>
      </c>
      <c r="C57" s="134" t="s">
        <v>1783</v>
      </c>
      <c r="D57" s="134" t="s">
        <v>1784</v>
      </c>
      <c r="E57" s="134" t="s">
        <v>1791</v>
      </c>
      <c r="F57" s="135">
        <v>51480</v>
      </c>
      <c r="G57" s="135">
        <v>58172.4</v>
      </c>
      <c r="H57" s="135">
        <f t="shared" si="0"/>
        <v>-6692.4000000000015</v>
      </c>
      <c r="I57" s="138">
        <v>0.26500000000000001</v>
      </c>
      <c r="J57" s="137">
        <v>9</v>
      </c>
    </row>
    <row r="58" spans="2:10" s="3" customFormat="1" ht="18" customHeight="1" x14ac:dyDescent="0.3">
      <c r="B58" s="134" t="s">
        <v>1794</v>
      </c>
      <c r="C58" s="134" t="s">
        <v>1783</v>
      </c>
      <c r="D58" s="134" t="s">
        <v>1784</v>
      </c>
      <c r="E58" s="134" t="s">
        <v>1791</v>
      </c>
      <c r="F58" s="135">
        <v>39600</v>
      </c>
      <c r="G58" s="135">
        <v>38016</v>
      </c>
      <c r="H58" s="135">
        <f t="shared" si="0"/>
        <v>1584</v>
      </c>
      <c r="I58" s="136">
        <v>0.56399999999999995</v>
      </c>
      <c r="J58" s="137">
        <v>2</v>
      </c>
    </row>
    <row r="59" spans="2:10" s="3" customFormat="1" ht="18" customHeight="1" x14ac:dyDescent="0.3">
      <c r="B59" s="134" t="s">
        <v>1794</v>
      </c>
      <c r="C59" s="134" t="s">
        <v>1783</v>
      </c>
      <c r="D59" s="134" t="s">
        <v>1784</v>
      </c>
      <c r="E59" s="134" t="s">
        <v>1792</v>
      </c>
      <c r="F59" s="135">
        <v>79113.600000000006</v>
      </c>
      <c r="G59" s="135">
        <v>64873.152000000002</v>
      </c>
      <c r="H59" s="135">
        <f t="shared" si="0"/>
        <v>14240.448000000004</v>
      </c>
      <c r="I59" s="136">
        <v>0.27600000000000002</v>
      </c>
      <c r="J59" s="137">
        <v>0</v>
      </c>
    </row>
    <row r="60" spans="2:10" s="3" customFormat="1" ht="18" customHeight="1" x14ac:dyDescent="0.3">
      <c r="B60" s="134" t="s">
        <v>1794</v>
      </c>
      <c r="C60" s="134" t="s">
        <v>1783</v>
      </c>
      <c r="D60" s="134" t="s">
        <v>1784</v>
      </c>
      <c r="E60" s="134" t="s">
        <v>1792</v>
      </c>
      <c r="F60" s="135">
        <v>79113.600000000006</v>
      </c>
      <c r="G60" s="135">
        <v>64873.152000000002</v>
      </c>
      <c r="H60" s="135">
        <f t="shared" si="0"/>
        <v>14240.448000000004</v>
      </c>
      <c r="I60" s="136">
        <v>0.54400000000000004</v>
      </c>
      <c r="J60" s="137">
        <v>6</v>
      </c>
    </row>
    <row r="61" spans="2:10" s="3" customFormat="1" ht="18" customHeight="1" x14ac:dyDescent="0.3">
      <c r="B61" s="134" t="s">
        <v>1794</v>
      </c>
      <c r="C61" s="134" t="s">
        <v>1783</v>
      </c>
      <c r="D61" s="134" t="s">
        <v>1784</v>
      </c>
      <c r="E61" s="134" t="s">
        <v>1792</v>
      </c>
      <c r="F61" s="135">
        <v>57888</v>
      </c>
      <c r="G61" s="135">
        <v>55572.480000000003</v>
      </c>
      <c r="H61" s="135">
        <f t="shared" si="0"/>
        <v>2315.5199999999968</v>
      </c>
      <c r="I61" s="136">
        <v>0.315</v>
      </c>
      <c r="J61" s="137">
        <v>5</v>
      </c>
    </row>
    <row r="62" spans="2:10" s="3" customFormat="1" ht="18" customHeight="1" x14ac:dyDescent="0.3">
      <c r="B62" s="134" t="s">
        <v>1794</v>
      </c>
      <c r="C62" s="134" t="s">
        <v>1783</v>
      </c>
      <c r="D62" s="134" t="s">
        <v>1784</v>
      </c>
      <c r="E62" s="134" t="s">
        <v>1792</v>
      </c>
      <c r="F62" s="135">
        <v>57888</v>
      </c>
      <c r="G62" s="135">
        <v>55572.480000000003</v>
      </c>
      <c r="H62" s="135">
        <f t="shared" si="0"/>
        <v>2315.5199999999968</v>
      </c>
      <c r="I62" s="136">
        <v>0.187</v>
      </c>
      <c r="J62" s="137">
        <v>3</v>
      </c>
    </row>
    <row r="63" spans="2:10" s="3" customFormat="1" ht="18" customHeight="1" x14ac:dyDescent="0.3">
      <c r="B63" s="134" t="s">
        <v>1794</v>
      </c>
      <c r="C63" s="134" t="s">
        <v>1785</v>
      </c>
      <c r="D63" s="134" t="s">
        <v>1786</v>
      </c>
      <c r="E63" s="134" t="s">
        <v>1791</v>
      </c>
      <c r="F63" s="135">
        <v>52800</v>
      </c>
      <c r="G63" s="135">
        <v>59664</v>
      </c>
      <c r="H63" s="135">
        <f t="shared" si="0"/>
        <v>-6864</v>
      </c>
      <c r="I63" s="136">
        <v>0.255</v>
      </c>
      <c r="J63" s="137">
        <v>8</v>
      </c>
    </row>
    <row r="64" spans="2:10" s="3" customFormat="1" ht="18" customHeight="1" x14ac:dyDescent="0.3">
      <c r="B64" s="134" t="s">
        <v>1794</v>
      </c>
      <c r="C64" s="134" t="s">
        <v>1785</v>
      </c>
      <c r="D64" s="134" t="s">
        <v>1786</v>
      </c>
      <c r="E64" s="134" t="s">
        <v>1791</v>
      </c>
      <c r="F64" s="135">
        <v>52140</v>
      </c>
      <c r="G64" s="135">
        <v>41190.6</v>
      </c>
      <c r="H64" s="135">
        <f t="shared" si="0"/>
        <v>10949.400000000001</v>
      </c>
      <c r="I64" s="136">
        <v>0.35599999999999998</v>
      </c>
      <c r="J64" s="137">
        <v>5</v>
      </c>
    </row>
    <row r="65" spans="2:10" s="3" customFormat="1" ht="18" customHeight="1" x14ac:dyDescent="0.3">
      <c r="B65" s="134" t="s">
        <v>1794</v>
      </c>
      <c r="C65" s="134" t="s">
        <v>1785</v>
      </c>
      <c r="D65" s="134" t="s">
        <v>1786</v>
      </c>
      <c r="E65" s="134" t="s">
        <v>1791</v>
      </c>
      <c r="F65" s="135">
        <v>52140</v>
      </c>
      <c r="G65" s="135">
        <v>41190.6</v>
      </c>
      <c r="H65" s="135">
        <f t="shared" si="0"/>
        <v>10949.400000000001</v>
      </c>
      <c r="I65" s="136">
        <v>0.27600000000000002</v>
      </c>
      <c r="J65" s="137">
        <v>6</v>
      </c>
    </row>
    <row r="66" spans="2:10" s="3" customFormat="1" ht="18" customHeight="1" x14ac:dyDescent="0.3">
      <c r="B66" s="134" t="s">
        <v>1794</v>
      </c>
      <c r="C66" s="134" t="s">
        <v>1785</v>
      </c>
      <c r="D66" s="134" t="s">
        <v>1786</v>
      </c>
      <c r="E66" s="134" t="s">
        <v>1792</v>
      </c>
      <c r="F66" s="135">
        <v>77184</v>
      </c>
      <c r="G66" s="135">
        <v>68693.759999999995</v>
      </c>
      <c r="H66" s="135">
        <f t="shared" si="0"/>
        <v>8490.2400000000052</v>
      </c>
      <c r="I66" s="136">
        <v>0.255</v>
      </c>
      <c r="J66" s="137">
        <v>5</v>
      </c>
    </row>
    <row r="67" spans="2:10" s="3" customFormat="1" ht="18" customHeight="1" x14ac:dyDescent="0.3">
      <c r="B67" s="134" t="s">
        <v>1794</v>
      </c>
      <c r="C67" s="134" t="s">
        <v>1785</v>
      </c>
      <c r="D67" s="134" t="s">
        <v>1786</v>
      </c>
      <c r="E67" s="134" t="s">
        <v>1792</v>
      </c>
      <c r="F67" s="135">
        <v>77184</v>
      </c>
      <c r="G67" s="135">
        <v>87217.919999999998</v>
      </c>
      <c r="H67" s="135">
        <f t="shared" si="0"/>
        <v>-10033.919999999998</v>
      </c>
      <c r="I67" s="136">
        <v>0.56399999999999995</v>
      </c>
      <c r="J67" s="137">
        <v>5</v>
      </c>
    </row>
    <row r="68" spans="2:10" s="3" customFormat="1" ht="18" customHeight="1" x14ac:dyDescent="0.3">
      <c r="B68" s="134" t="s">
        <v>1794</v>
      </c>
      <c r="C68" s="134" t="s">
        <v>1785</v>
      </c>
      <c r="D68" s="134" t="s">
        <v>1786</v>
      </c>
      <c r="E68" s="134" t="s">
        <v>1792</v>
      </c>
      <c r="F68" s="135">
        <v>76219.199999999997</v>
      </c>
      <c r="G68" s="135">
        <v>60213.167999999998</v>
      </c>
      <c r="H68" s="135">
        <f t="shared" si="0"/>
        <v>16006.031999999999</v>
      </c>
      <c r="I68" s="136">
        <v>0.54400000000000004</v>
      </c>
      <c r="J68" s="137">
        <v>1</v>
      </c>
    </row>
    <row r="69" spans="2:10" s="3" customFormat="1" ht="18" customHeight="1" x14ac:dyDescent="0.3">
      <c r="B69" s="134" t="s">
        <v>1794</v>
      </c>
      <c r="C69" s="134" t="s">
        <v>1785</v>
      </c>
      <c r="D69" s="134" t="s">
        <v>1786</v>
      </c>
      <c r="E69" s="134" t="s">
        <v>1792</v>
      </c>
      <c r="F69" s="135">
        <v>75254.399999999994</v>
      </c>
      <c r="G69" s="135">
        <v>58698.432000000001</v>
      </c>
      <c r="H69" s="135">
        <f t="shared" si="0"/>
        <v>16555.967999999993</v>
      </c>
      <c r="I69" s="136">
        <v>0.255</v>
      </c>
      <c r="J69" s="137">
        <v>9</v>
      </c>
    </row>
    <row r="70" spans="2:10" s="3" customFormat="1" ht="18" customHeight="1" x14ac:dyDescent="0.3">
      <c r="B70" s="134" t="s">
        <v>1794</v>
      </c>
      <c r="C70" s="134" t="s">
        <v>1783</v>
      </c>
      <c r="D70" s="134" t="s">
        <v>1787</v>
      </c>
      <c r="E70" s="134" t="s">
        <v>1791</v>
      </c>
      <c r="F70" s="135">
        <v>52800</v>
      </c>
      <c r="G70" s="135">
        <v>46992</v>
      </c>
      <c r="H70" s="135">
        <f t="shared" si="0"/>
        <v>5808</v>
      </c>
      <c r="I70" s="136">
        <v>0.187</v>
      </c>
      <c r="J70" s="137">
        <v>9</v>
      </c>
    </row>
    <row r="71" spans="2:10" s="3" customFormat="1" ht="18" customHeight="1" x14ac:dyDescent="0.3">
      <c r="B71" s="134" t="s">
        <v>1794</v>
      </c>
      <c r="C71" s="134" t="s">
        <v>1783</v>
      </c>
      <c r="D71" s="134" t="s">
        <v>1787</v>
      </c>
      <c r="E71" s="134" t="s">
        <v>1792</v>
      </c>
      <c r="F71" s="135">
        <v>76219.199999999997</v>
      </c>
      <c r="G71" s="135">
        <v>60213.167999999998</v>
      </c>
      <c r="H71" s="135">
        <f t="shared" si="0"/>
        <v>16006.031999999999</v>
      </c>
      <c r="I71" s="136">
        <v>0.26500000000000001</v>
      </c>
      <c r="J71" s="137">
        <v>7</v>
      </c>
    </row>
    <row r="72" spans="2:10" s="3" customFormat="1" ht="18" customHeight="1" x14ac:dyDescent="0.3">
      <c r="B72" s="134" t="s">
        <v>1794</v>
      </c>
      <c r="C72" s="134" t="s">
        <v>1783</v>
      </c>
      <c r="D72" s="134" t="s">
        <v>1787</v>
      </c>
      <c r="E72" s="134" t="s">
        <v>1792</v>
      </c>
      <c r="F72" s="135">
        <v>75254.399999999994</v>
      </c>
      <c r="G72" s="135">
        <v>58698.432000000001</v>
      </c>
      <c r="H72" s="135">
        <f t="shared" si="0"/>
        <v>16555.967999999993</v>
      </c>
      <c r="I72" s="136">
        <v>0.35599999999999998</v>
      </c>
      <c r="J72" s="137">
        <v>5</v>
      </c>
    </row>
    <row r="73" spans="2:10" s="3" customFormat="1" ht="18" customHeight="1" x14ac:dyDescent="0.3">
      <c r="B73" s="134" t="s">
        <v>1794</v>
      </c>
      <c r="C73" s="134" t="s">
        <v>1783</v>
      </c>
      <c r="D73" s="134" t="s">
        <v>1787</v>
      </c>
      <c r="E73" s="134" t="s">
        <v>1778</v>
      </c>
      <c r="F73" s="135">
        <v>296700</v>
      </c>
      <c r="G73" s="135">
        <v>216591</v>
      </c>
      <c r="H73" s="135">
        <f t="shared" si="0"/>
        <v>80109</v>
      </c>
      <c r="I73" s="136">
        <v>0.23300000000000001</v>
      </c>
      <c r="J73" s="137">
        <v>1</v>
      </c>
    </row>
    <row r="74" spans="2:10" s="3" customFormat="1" ht="18" customHeight="1" x14ac:dyDescent="0.3">
      <c r="B74" s="134" t="s">
        <v>1794</v>
      </c>
      <c r="C74" s="134" t="s">
        <v>1785</v>
      </c>
      <c r="D74" s="134" t="s">
        <v>1789</v>
      </c>
      <c r="E74" s="134" t="s">
        <v>1791</v>
      </c>
      <c r="F74" s="135">
        <v>54120</v>
      </c>
      <c r="G74" s="135">
        <v>44378.400000000001</v>
      </c>
      <c r="H74" s="135">
        <f t="shared" si="0"/>
        <v>9741.5999999999985</v>
      </c>
      <c r="I74" s="136">
        <v>0.315</v>
      </c>
      <c r="J74" s="137">
        <v>8</v>
      </c>
    </row>
    <row r="75" spans="2:10" s="3" customFormat="1" ht="18" customHeight="1" x14ac:dyDescent="0.3">
      <c r="B75" s="134" t="s">
        <v>1794</v>
      </c>
      <c r="C75" s="134" t="s">
        <v>1785</v>
      </c>
      <c r="D75" s="134" t="s">
        <v>1789</v>
      </c>
      <c r="E75" s="134" t="s">
        <v>1791</v>
      </c>
      <c r="F75" s="135">
        <v>54120</v>
      </c>
      <c r="G75" s="135">
        <v>44378.400000000001</v>
      </c>
      <c r="H75" s="135">
        <f>F75-G75</f>
        <v>9741.5999999999985</v>
      </c>
      <c r="I75" s="136">
        <v>0.56399999999999995</v>
      </c>
      <c r="J75" s="137">
        <v>3</v>
      </c>
    </row>
    <row r="76" spans="2:10" s="3" customFormat="1" ht="18" customHeight="1" x14ac:dyDescent="0.3">
      <c r="B76" s="134" t="s">
        <v>1794</v>
      </c>
      <c r="C76" s="134" t="s">
        <v>1785</v>
      </c>
      <c r="D76" s="134" t="s">
        <v>1789</v>
      </c>
      <c r="E76" s="134" t="s">
        <v>1791</v>
      </c>
      <c r="F76" s="135">
        <v>51480</v>
      </c>
      <c r="G76" s="135">
        <v>40154.400000000001</v>
      </c>
      <c r="H76" s="135">
        <f>F76-G76</f>
        <v>11325.599999999999</v>
      </c>
      <c r="I76" s="136">
        <v>0.255</v>
      </c>
      <c r="J76" s="137">
        <v>2</v>
      </c>
    </row>
    <row r="77" spans="2:10" s="3" customFormat="1" ht="18" customHeight="1" x14ac:dyDescent="0.3">
      <c r="B77" s="134" t="s">
        <v>1794</v>
      </c>
      <c r="C77" s="134" t="s">
        <v>1785</v>
      </c>
      <c r="D77" s="134" t="s">
        <v>1789</v>
      </c>
      <c r="E77" s="134" t="s">
        <v>1791</v>
      </c>
      <c r="F77" s="135">
        <v>39600</v>
      </c>
      <c r="G77" s="135">
        <v>38016</v>
      </c>
      <c r="H77" s="135">
        <f>F77-G77</f>
        <v>1584</v>
      </c>
      <c r="I77" s="136">
        <v>0.54400000000000004</v>
      </c>
      <c r="J77" s="137">
        <v>8</v>
      </c>
    </row>
    <row r="78" spans="2:10" s="3" customFormat="1" ht="18" customHeight="1" x14ac:dyDescent="0.3">
      <c r="B78" s="134" t="s">
        <v>1794</v>
      </c>
      <c r="C78" s="134" t="s">
        <v>1785</v>
      </c>
      <c r="D78" s="134" t="s">
        <v>1789</v>
      </c>
      <c r="E78" s="134" t="s">
        <v>1792</v>
      </c>
      <c r="F78" s="135">
        <v>79113.600000000006</v>
      </c>
      <c r="G78" s="135">
        <v>64873.152000000002</v>
      </c>
      <c r="H78" s="135">
        <f>F78-G78</f>
        <v>14240.448000000004</v>
      </c>
      <c r="I78" s="136">
        <v>0.255</v>
      </c>
      <c r="J78" s="137">
        <v>9</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showGridLines="0" workbookViewId="0">
      <selection activeCell="F3" sqref="F3"/>
    </sheetView>
  </sheetViews>
  <sheetFormatPr defaultColWidth="9.109375" defaultRowHeight="15.6" x14ac:dyDescent="0.3"/>
  <cols>
    <col min="1" max="1" width="5.44140625" style="142" customWidth="1"/>
    <col min="2" max="2" width="13" style="142" bestFit="1" customWidth="1"/>
    <col min="3" max="3" width="11" style="142" bestFit="1" customWidth="1"/>
    <col min="4" max="4" width="14.33203125" style="142" bestFit="1" customWidth="1"/>
    <col min="5" max="5" width="14.88671875" style="142" bestFit="1" customWidth="1"/>
    <col min="6" max="7" width="18" style="142" bestFit="1" customWidth="1"/>
    <col min="8" max="8" width="15.5546875" style="142" bestFit="1" customWidth="1"/>
    <col min="9" max="9" width="13.6640625" style="142" bestFit="1" customWidth="1"/>
    <col min="10" max="10" width="11" style="142" bestFit="1" customWidth="1"/>
    <col min="11" max="16384" width="9.109375" style="142"/>
  </cols>
  <sheetData>
    <row r="1" spans="1:13" ht="30" x14ac:dyDescent="0.5">
      <c r="A1" s="113" t="s">
        <v>1851</v>
      </c>
      <c r="B1" s="114"/>
      <c r="C1" s="3"/>
      <c r="D1" s="3"/>
      <c r="F1" s="3"/>
      <c r="G1" s="3"/>
      <c r="M1" s="633" t="s">
        <v>3016</v>
      </c>
    </row>
    <row r="2" spans="1:13" ht="30" x14ac:dyDescent="0.5">
      <c r="A2" s="113"/>
      <c r="B2" s="114"/>
      <c r="C2" s="3"/>
      <c r="D2" s="3"/>
      <c r="E2" s="3"/>
      <c r="F2" s="3"/>
      <c r="G2" s="3"/>
    </row>
    <row r="3" spans="1:13" ht="17.25" customHeight="1" x14ac:dyDescent="0.5">
      <c r="A3" s="115"/>
      <c r="B3" s="114"/>
      <c r="C3" s="269" t="s">
        <v>1771</v>
      </c>
      <c r="D3" s="3"/>
      <c r="E3" s="178" t="s">
        <v>3030</v>
      </c>
      <c r="F3" s="270">
        <f>DCOUNTA($B$10:$J$78,5,$C$3:$C$4)</f>
        <v>27</v>
      </c>
      <c r="G3" s="270">
        <f>DCOUNTA($B$10:$J$78,6,$C$3:$C$4)</f>
        <v>27</v>
      </c>
      <c r="H3" s="270">
        <f>DCOUNTA($B$10:$J$78,7,$C$3:$C$4)</f>
        <v>27</v>
      </c>
      <c r="I3" s="222"/>
      <c r="J3" s="270">
        <f>DCOUNTA($B$10:$J$78,9,$C$3:$C$4)</f>
        <v>25</v>
      </c>
    </row>
    <row r="4" spans="1:13" ht="17.25" customHeight="1" x14ac:dyDescent="0.5">
      <c r="A4" s="115"/>
      <c r="B4" s="114"/>
      <c r="C4" s="271" t="s">
        <v>1850</v>
      </c>
      <c r="E4" s="176" t="s">
        <v>1020</v>
      </c>
      <c r="F4" s="272">
        <f>DSUM($B$10:$J$78,5,$C$3:$C$4)</f>
        <v>7643947.7120000012</v>
      </c>
      <c r="G4" s="272">
        <f>DSUM($B$10:$J$78,6,$C$3:$C$4)</f>
        <v>6768750.8614400001</v>
      </c>
      <c r="H4" s="272">
        <f>DSUM($B$10:$J$78,7,$C$3:$C$4)</f>
        <v>875196.85055999993</v>
      </c>
      <c r="I4" s="272"/>
      <c r="J4" s="273">
        <f>DSUM($B$10:$J$78,9,$C$3:$C$4)</f>
        <v>126</v>
      </c>
    </row>
    <row r="5" spans="1:13" ht="16.5" customHeight="1" x14ac:dyDescent="0.5">
      <c r="A5" s="115"/>
      <c r="B5" s="114"/>
      <c r="C5" s="3"/>
      <c r="G5" s="3"/>
    </row>
    <row r="6" spans="1:13" ht="16.5" customHeight="1" x14ac:dyDescent="0.3"/>
    <row r="7" spans="1:13" s="3" customFormat="1" ht="16.5" customHeight="1" x14ac:dyDescent="0.3">
      <c r="B7" s="119" t="s">
        <v>1770</v>
      </c>
      <c r="C7" s="120"/>
      <c r="D7" s="120"/>
      <c r="E7" s="120"/>
      <c r="F7" s="121"/>
      <c r="G7" s="121"/>
      <c r="H7" s="121"/>
      <c r="I7" s="120"/>
      <c r="J7" s="122"/>
    </row>
    <row r="8" spans="1:13" s="3" customFormat="1" ht="17.399999999999999" x14ac:dyDescent="0.3">
      <c r="B8" s="274" t="s">
        <v>3012</v>
      </c>
      <c r="C8" s="124"/>
      <c r="D8" s="124"/>
      <c r="E8" s="124"/>
      <c r="F8" s="125"/>
      <c r="G8" s="125"/>
      <c r="H8" s="125"/>
      <c r="I8" s="124"/>
      <c r="J8" s="126"/>
    </row>
    <row r="9" spans="1:13" s="3" customFormat="1" ht="17.399999999999999" hidden="1" x14ac:dyDescent="0.3">
      <c r="B9" s="127"/>
      <c r="C9" s="128"/>
      <c r="D9" s="128"/>
      <c r="E9" s="128"/>
      <c r="F9" s="129"/>
      <c r="G9" s="129"/>
      <c r="H9" s="129"/>
      <c r="I9" s="128"/>
    </row>
    <row r="10" spans="1:13" s="3" customFormat="1" ht="39" customHeight="1" thickBot="1" x14ac:dyDescent="0.35">
      <c r="B10" s="130" t="s">
        <v>1768</v>
      </c>
      <c r="C10" s="130" t="s">
        <v>176</v>
      </c>
      <c r="D10" s="130" t="s">
        <v>175</v>
      </c>
      <c r="E10" s="130" t="s">
        <v>264</v>
      </c>
      <c r="F10" s="131" t="s">
        <v>1771</v>
      </c>
      <c r="G10" s="131" t="s">
        <v>1772</v>
      </c>
      <c r="H10" s="132" t="s">
        <v>1773</v>
      </c>
      <c r="I10" s="133" t="s">
        <v>1774</v>
      </c>
      <c r="J10" s="133" t="s">
        <v>1775</v>
      </c>
    </row>
    <row r="11" spans="1:13" s="3" customFormat="1" ht="18" customHeight="1" x14ac:dyDescent="0.3">
      <c r="B11" s="134" t="s">
        <v>1769</v>
      </c>
      <c r="C11" s="134" t="s">
        <v>1776</v>
      </c>
      <c r="D11" s="134" t="s">
        <v>1777</v>
      </c>
      <c r="E11" s="134" t="s">
        <v>1778</v>
      </c>
      <c r="F11" s="135">
        <v>47520</v>
      </c>
      <c r="G11" s="135">
        <v>45619.199999999997</v>
      </c>
      <c r="H11" s="135">
        <f t="shared" ref="H11:H74" si="0">F11-G11</f>
        <v>1900.8000000000029</v>
      </c>
      <c r="I11" s="136">
        <v>0.247</v>
      </c>
      <c r="J11" s="137">
        <v>6</v>
      </c>
    </row>
    <row r="12" spans="1:13" s="3" customFormat="1" ht="18" customHeight="1" x14ac:dyDescent="0.3">
      <c r="B12" s="134" t="s">
        <v>1769</v>
      </c>
      <c r="C12" s="134" t="s">
        <v>1776</v>
      </c>
      <c r="D12" s="134" t="s">
        <v>1777</v>
      </c>
      <c r="E12" s="134" t="s">
        <v>1779</v>
      </c>
      <c r="F12" s="135">
        <v>91463.039999999994</v>
      </c>
      <c r="G12" s="135">
        <v>72255.801599999992</v>
      </c>
      <c r="H12" s="135">
        <f t="shared" si="0"/>
        <v>19207.238400000002</v>
      </c>
      <c r="I12" s="136">
        <v>0.35599999999999998</v>
      </c>
      <c r="J12" s="137">
        <v>8</v>
      </c>
    </row>
    <row r="13" spans="1:13" s="3" customFormat="1" ht="18" customHeight="1" x14ac:dyDescent="0.3">
      <c r="B13" s="134" t="s">
        <v>1769</v>
      </c>
      <c r="C13" s="134" t="s">
        <v>1776</v>
      </c>
      <c r="D13" s="134" t="s">
        <v>1777</v>
      </c>
      <c r="E13" s="134" t="s">
        <v>1778</v>
      </c>
      <c r="F13" s="135">
        <v>356040</v>
      </c>
      <c r="G13" s="135">
        <v>259909.2</v>
      </c>
      <c r="H13" s="135">
        <f t="shared" si="0"/>
        <v>96130.799999999988</v>
      </c>
      <c r="I13" s="136">
        <v>0.255</v>
      </c>
      <c r="J13" s="137">
        <v>2</v>
      </c>
    </row>
    <row r="14" spans="1:13" s="3" customFormat="1" ht="18" customHeight="1" x14ac:dyDescent="0.3">
      <c r="B14" s="134" t="s">
        <v>1769</v>
      </c>
      <c r="C14" s="134" t="s">
        <v>1776</v>
      </c>
      <c r="D14" s="134" t="s">
        <v>1777</v>
      </c>
      <c r="E14" s="134" t="s">
        <v>1779</v>
      </c>
      <c r="F14" s="135">
        <v>154275.84</v>
      </c>
      <c r="G14" s="135">
        <v>143476.5312</v>
      </c>
      <c r="H14" s="135">
        <f t="shared" si="0"/>
        <v>10799.308799999999</v>
      </c>
      <c r="I14" s="136">
        <v>0.65</v>
      </c>
      <c r="J14" s="137">
        <v>9</v>
      </c>
    </row>
    <row r="15" spans="1:13" s="3" customFormat="1" ht="18" customHeight="1" x14ac:dyDescent="0.3">
      <c r="B15" s="134" t="s">
        <v>1769</v>
      </c>
      <c r="C15" s="134" t="s">
        <v>1776</v>
      </c>
      <c r="D15" s="134" t="s">
        <v>1777</v>
      </c>
      <c r="E15" s="134" t="s">
        <v>1778</v>
      </c>
      <c r="F15" s="135">
        <v>113923.584</v>
      </c>
      <c r="G15" s="135">
        <v>93417.338879999996</v>
      </c>
      <c r="H15" s="135">
        <f t="shared" si="0"/>
        <v>20506.245120000007</v>
      </c>
      <c r="I15" s="136">
        <v>0.255</v>
      </c>
      <c r="J15" s="137">
        <v>6</v>
      </c>
    </row>
    <row r="16" spans="1:13" s="3" customFormat="1" ht="18" customHeight="1" x14ac:dyDescent="0.3">
      <c r="B16" s="134" t="s">
        <v>1769</v>
      </c>
      <c r="C16" s="134" t="s">
        <v>1776</v>
      </c>
      <c r="D16" s="134" t="s">
        <v>1780</v>
      </c>
      <c r="E16" s="134" t="s">
        <v>1779</v>
      </c>
      <c r="F16" s="135">
        <v>94936.320000000007</v>
      </c>
      <c r="G16" s="135">
        <v>77847.782399999996</v>
      </c>
      <c r="H16" s="135">
        <f t="shared" si="0"/>
        <v>17088.537600000011</v>
      </c>
      <c r="I16" s="136">
        <v>0.315</v>
      </c>
      <c r="J16" s="137">
        <v>9</v>
      </c>
    </row>
    <row r="17" spans="2:10" s="3" customFormat="1" ht="18" customHeight="1" x14ac:dyDescent="0.3">
      <c r="B17" s="134" t="s">
        <v>1769</v>
      </c>
      <c r="C17" s="134" t="s">
        <v>1776</v>
      </c>
      <c r="D17" s="134" t="s">
        <v>1780</v>
      </c>
      <c r="E17" s="134" t="s">
        <v>1778</v>
      </c>
      <c r="F17" s="135">
        <v>90305.279999999999</v>
      </c>
      <c r="G17" s="135">
        <v>70438.118399999992</v>
      </c>
      <c r="H17" s="135">
        <f t="shared" si="0"/>
        <v>19867.161600000007</v>
      </c>
      <c r="I17" s="136">
        <v>0.255</v>
      </c>
      <c r="J17" s="137"/>
    </row>
    <row r="18" spans="2:10" s="3" customFormat="1" ht="18" customHeight="1" x14ac:dyDescent="0.3">
      <c r="B18" s="134" t="s">
        <v>1769</v>
      </c>
      <c r="C18" s="134" t="s">
        <v>1776</v>
      </c>
      <c r="D18" s="134" t="s">
        <v>1780</v>
      </c>
      <c r="E18" s="134" t="s">
        <v>1779</v>
      </c>
      <c r="F18" s="135">
        <v>394275.84000000003</v>
      </c>
      <c r="G18" s="135">
        <v>366676.53120000003</v>
      </c>
      <c r="H18" s="135">
        <f t="shared" si="0"/>
        <v>27599.308799999999</v>
      </c>
      <c r="I18" s="136">
        <v>0.154</v>
      </c>
      <c r="J18" s="137">
        <v>0</v>
      </c>
    </row>
    <row r="19" spans="2:10" s="3" customFormat="1" ht="18" customHeight="1" x14ac:dyDescent="0.3">
      <c r="B19" s="134" t="s">
        <v>1769</v>
      </c>
      <c r="C19" s="134" t="s">
        <v>1776</v>
      </c>
      <c r="D19" s="134" t="s">
        <v>1780</v>
      </c>
      <c r="E19" s="134" t="s">
        <v>1778</v>
      </c>
      <c r="F19" s="135">
        <v>116121.60000000001</v>
      </c>
      <c r="G19" s="135">
        <v>84768.767999999996</v>
      </c>
      <c r="H19" s="135">
        <f t="shared" si="0"/>
        <v>31352.832000000009</v>
      </c>
      <c r="I19" s="136">
        <v>0.13400000000000001</v>
      </c>
      <c r="J19" s="137">
        <v>3</v>
      </c>
    </row>
    <row r="20" spans="2:10" s="3" customFormat="1" ht="18" customHeight="1" x14ac:dyDescent="0.3">
      <c r="B20" s="134" t="s">
        <v>1769</v>
      </c>
      <c r="C20" s="134" t="s">
        <v>1776</v>
      </c>
      <c r="D20" s="134" t="s">
        <v>1781</v>
      </c>
      <c r="E20" s="134" t="s">
        <v>1778</v>
      </c>
      <c r="F20" s="135">
        <v>92620.800000000003</v>
      </c>
      <c r="G20" s="135">
        <v>82432.511999999988</v>
      </c>
      <c r="H20" s="135">
        <f t="shared" si="0"/>
        <v>10188.288000000015</v>
      </c>
      <c r="I20" s="136">
        <v>0.187</v>
      </c>
      <c r="J20" s="137">
        <v>3</v>
      </c>
    </row>
    <row r="21" spans="2:10" s="3" customFormat="1" ht="18" customHeight="1" x14ac:dyDescent="0.3">
      <c r="B21" s="134" t="s">
        <v>1769</v>
      </c>
      <c r="C21" s="134" t="s">
        <v>1776</v>
      </c>
      <c r="D21" s="134" t="s">
        <v>1781</v>
      </c>
      <c r="E21" s="134" t="s">
        <v>1779</v>
      </c>
      <c r="F21" s="135">
        <v>69465.600000000006</v>
      </c>
      <c r="G21" s="135">
        <v>66686.975999999995</v>
      </c>
      <c r="H21" s="135">
        <f t="shared" si="0"/>
        <v>2778.6240000000107</v>
      </c>
      <c r="I21" s="136">
        <v>0.54400000000000004</v>
      </c>
      <c r="J21" s="137">
        <v>9</v>
      </c>
    </row>
    <row r="22" spans="2:10" s="3" customFormat="1" ht="18" customHeight="1" x14ac:dyDescent="0.3">
      <c r="B22" s="134" t="s">
        <v>1769</v>
      </c>
      <c r="C22" s="134" t="s">
        <v>1776</v>
      </c>
      <c r="D22" s="134" t="s">
        <v>1781</v>
      </c>
      <c r="E22" s="134" t="s">
        <v>1778</v>
      </c>
      <c r="F22" s="135">
        <v>261004.79999999999</v>
      </c>
      <c r="G22" s="135">
        <v>221854.07999999999</v>
      </c>
      <c r="H22" s="135">
        <f t="shared" si="0"/>
        <v>39150.720000000001</v>
      </c>
      <c r="I22" s="136">
        <v>0.23300000000000001</v>
      </c>
      <c r="J22" s="137">
        <v>6</v>
      </c>
    </row>
    <row r="23" spans="2:10" s="3" customFormat="1" ht="18" customHeight="1" x14ac:dyDescent="0.3">
      <c r="B23" s="134" t="s">
        <v>1769</v>
      </c>
      <c r="C23" s="134" t="s">
        <v>1776</v>
      </c>
      <c r="D23" s="134" t="s">
        <v>1781</v>
      </c>
      <c r="E23" s="134" t="s">
        <v>1779</v>
      </c>
      <c r="F23" s="135">
        <v>57024</v>
      </c>
      <c r="G23" s="135">
        <v>54743.040000000001</v>
      </c>
      <c r="H23" s="135">
        <f t="shared" si="0"/>
        <v>2280.9599999999991</v>
      </c>
      <c r="I23" s="136">
        <v>0.56399999999999995</v>
      </c>
      <c r="J23" s="137">
        <v>8</v>
      </c>
    </row>
    <row r="24" spans="2:10" s="3" customFormat="1" ht="18" customHeight="1" x14ac:dyDescent="0.3">
      <c r="B24" s="134" t="s">
        <v>1782</v>
      </c>
      <c r="C24" s="134" t="s">
        <v>1783</v>
      </c>
      <c r="D24" s="134" t="s">
        <v>1784</v>
      </c>
      <c r="E24" s="134" t="s">
        <v>1779</v>
      </c>
      <c r="F24" s="135">
        <v>181988</v>
      </c>
      <c r="G24" s="135">
        <v>205646.44</v>
      </c>
      <c r="H24" s="135">
        <f t="shared" si="0"/>
        <v>-23658.440000000002</v>
      </c>
      <c r="I24" s="136">
        <v>0.432</v>
      </c>
      <c r="J24" s="137">
        <v>2</v>
      </c>
    </row>
    <row r="25" spans="2:10" s="3" customFormat="1" ht="18" customHeight="1" x14ac:dyDescent="0.3">
      <c r="B25" s="134" t="s">
        <v>1782</v>
      </c>
      <c r="C25" s="134" t="s">
        <v>1783</v>
      </c>
      <c r="D25" s="134" t="s">
        <v>1784</v>
      </c>
      <c r="E25" s="134" t="s">
        <v>1779</v>
      </c>
      <c r="F25" s="135">
        <v>121197.6</v>
      </c>
      <c r="G25" s="135">
        <v>112713.76800000001</v>
      </c>
      <c r="H25" s="135">
        <f t="shared" si="0"/>
        <v>8483.8319999999949</v>
      </c>
      <c r="I25" s="136">
        <v>0.154</v>
      </c>
      <c r="J25" s="137">
        <v>4</v>
      </c>
    </row>
    <row r="26" spans="2:10" s="3" customFormat="1" ht="18" customHeight="1" x14ac:dyDescent="0.3">
      <c r="B26" s="134" t="s">
        <v>1782</v>
      </c>
      <c r="C26" s="134" t="s">
        <v>1783</v>
      </c>
      <c r="D26" s="134" t="s">
        <v>1784</v>
      </c>
      <c r="E26" s="134" t="s">
        <v>1778</v>
      </c>
      <c r="F26" s="135">
        <v>432900</v>
      </c>
      <c r="G26" s="135">
        <v>367965</v>
      </c>
      <c r="H26" s="135">
        <f t="shared" si="0"/>
        <v>64935</v>
      </c>
      <c r="I26" s="136">
        <v>0.247</v>
      </c>
      <c r="J26" s="137">
        <v>2</v>
      </c>
    </row>
    <row r="27" spans="2:10" s="3" customFormat="1" ht="18" customHeight="1" x14ac:dyDescent="0.3">
      <c r="B27" s="134" t="s">
        <v>1782</v>
      </c>
      <c r="C27" s="134" t="s">
        <v>1783</v>
      </c>
      <c r="D27" s="134" t="s">
        <v>1784</v>
      </c>
      <c r="E27" s="134" t="s">
        <v>1778</v>
      </c>
      <c r="F27" s="135">
        <v>96768</v>
      </c>
      <c r="G27" s="135">
        <v>70640.639999999999</v>
      </c>
      <c r="H27" s="135">
        <f t="shared" si="0"/>
        <v>26127.360000000001</v>
      </c>
      <c r="I27" s="136">
        <v>0.318</v>
      </c>
      <c r="J27" s="137">
        <v>2</v>
      </c>
    </row>
    <row r="28" spans="2:10" s="3" customFormat="1" ht="18" customHeight="1" x14ac:dyDescent="0.3">
      <c r="B28" s="134" t="s">
        <v>1782</v>
      </c>
      <c r="C28" s="134" t="s">
        <v>1785</v>
      </c>
      <c r="D28" s="134" t="s">
        <v>1786</v>
      </c>
      <c r="E28" s="134" t="s">
        <v>1779</v>
      </c>
      <c r="F28" s="135">
        <v>121197.6</v>
      </c>
      <c r="G28" s="135">
        <v>112713.76800000001</v>
      </c>
      <c r="H28" s="135">
        <f t="shared" si="0"/>
        <v>8483.8319999999949</v>
      </c>
      <c r="I28" s="136">
        <v>0.45</v>
      </c>
      <c r="J28" s="137">
        <v>13</v>
      </c>
    </row>
    <row r="29" spans="2:10" s="3" customFormat="1" ht="18" customHeight="1" x14ac:dyDescent="0.3">
      <c r="B29" s="134" t="s">
        <v>1782</v>
      </c>
      <c r="C29" s="134" t="s">
        <v>1785</v>
      </c>
      <c r="D29" s="134" t="s">
        <v>1786</v>
      </c>
      <c r="E29" s="134" t="s">
        <v>1779</v>
      </c>
      <c r="F29" s="135">
        <v>121197.6</v>
      </c>
      <c r="G29" s="135">
        <v>112713.76800000001</v>
      </c>
      <c r="H29" s="135">
        <f t="shared" si="0"/>
        <v>8483.8319999999949</v>
      </c>
      <c r="I29" s="136">
        <v>0.23300000000000001</v>
      </c>
      <c r="J29" s="137"/>
    </row>
    <row r="30" spans="2:10" s="3" customFormat="1" ht="18" customHeight="1" x14ac:dyDescent="0.3">
      <c r="B30" s="134" t="s">
        <v>1782</v>
      </c>
      <c r="C30" s="134" t="s">
        <v>1785</v>
      </c>
      <c r="D30" s="134" t="s">
        <v>1786</v>
      </c>
      <c r="E30" s="134" t="s">
        <v>1779</v>
      </c>
      <c r="F30" s="135">
        <v>110772</v>
      </c>
      <c r="G30" s="135">
        <v>94156.2</v>
      </c>
      <c r="H30" s="135">
        <f t="shared" si="0"/>
        <v>16615.800000000003</v>
      </c>
      <c r="I30" s="136">
        <v>0.39800000000000002</v>
      </c>
      <c r="J30" s="137">
        <v>9</v>
      </c>
    </row>
    <row r="31" spans="2:10" s="3" customFormat="1" ht="18" customHeight="1" x14ac:dyDescent="0.3">
      <c r="B31" s="134" t="s">
        <v>1782</v>
      </c>
      <c r="C31" s="134" t="s">
        <v>1783</v>
      </c>
      <c r="D31" s="134" t="s">
        <v>1787</v>
      </c>
      <c r="E31" s="134" t="s">
        <v>1778</v>
      </c>
      <c r="F31" s="135">
        <v>128563.2</v>
      </c>
      <c r="G31" s="135">
        <v>119563.776</v>
      </c>
      <c r="H31" s="135">
        <f t="shared" si="0"/>
        <v>8999.4239999999991</v>
      </c>
      <c r="I31" s="136">
        <v>0.39800000000000002</v>
      </c>
      <c r="J31" s="137">
        <v>8</v>
      </c>
    </row>
    <row r="32" spans="2:10" s="3" customFormat="1" ht="18" customHeight="1" x14ac:dyDescent="0.3">
      <c r="B32" s="134" t="s">
        <v>1782</v>
      </c>
      <c r="C32" s="134" t="s">
        <v>1783</v>
      </c>
      <c r="D32" s="134" t="s">
        <v>1787</v>
      </c>
      <c r="E32" s="134" t="s">
        <v>1778</v>
      </c>
      <c r="F32" s="135">
        <v>128563.2</v>
      </c>
      <c r="G32" s="135">
        <v>119563.776</v>
      </c>
      <c r="H32" s="135">
        <f t="shared" si="0"/>
        <v>8999.4239999999991</v>
      </c>
      <c r="I32" s="136">
        <v>0.23300000000000001</v>
      </c>
      <c r="J32" s="137">
        <v>1</v>
      </c>
    </row>
    <row r="33" spans="2:10" s="3" customFormat="1" ht="18" customHeight="1" x14ac:dyDescent="0.3">
      <c r="B33" s="134" t="s">
        <v>1782</v>
      </c>
      <c r="C33" s="134" t="s">
        <v>1783</v>
      </c>
      <c r="D33" s="134" t="s">
        <v>1788</v>
      </c>
      <c r="E33" s="134" t="s">
        <v>1778</v>
      </c>
      <c r="F33" s="135">
        <v>76032</v>
      </c>
      <c r="G33" s="135">
        <v>75271.679999999993</v>
      </c>
      <c r="H33" s="135">
        <f t="shared" si="0"/>
        <v>760.32000000000698</v>
      </c>
      <c r="I33" s="136">
        <v>0.65</v>
      </c>
      <c r="J33" s="137">
        <v>4</v>
      </c>
    </row>
    <row r="34" spans="2:10" s="3" customFormat="1" ht="18" customHeight="1" x14ac:dyDescent="0.3">
      <c r="B34" s="134" t="s">
        <v>1782</v>
      </c>
      <c r="C34" s="134" t="s">
        <v>1785</v>
      </c>
      <c r="D34" s="134" t="s">
        <v>1789</v>
      </c>
      <c r="E34" s="134" t="s">
        <v>1779</v>
      </c>
      <c r="F34" s="135">
        <v>110772</v>
      </c>
      <c r="G34" s="135">
        <v>125172.36</v>
      </c>
      <c r="H34" s="135">
        <f t="shared" si="0"/>
        <v>-14400.36</v>
      </c>
      <c r="I34" s="136">
        <v>0.23300000000000001</v>
      </c>
      <c r="J34" s="137"/>
    </row>
    <row r="35" spans="2:10" s="3" customFormat="1" ht="18" customHeight="1" x14ac:dyDescent="0.3">
      <c r="B35" s="134" t="s">
        <v>1782</v>
      </c>
      <c r="C35" s="134" t="s">
        <v>1785</v>
      </c>
      <c r="D35" s="134" t="s">
        <v>1789</v>
      </c>
      <c r="E35" s="134" t="s">
        <v>1779</v>
      </c>
      <c r="F35" s="135">
        <v>110772</v>
      </c>
      <c r="G35" s="135">
        <v>125172.36</v>
      </c>
      <c r="H35" s="135">
        <f t="shared" si="0"/>
        <v>-14400.36</v>
      </c>
      <c r="I35" s="136">
        <v>0.318</v>
      </c>
      <c r="J35" s="137">
        <v>1</v>
      </c>
    </row>
    <row r="36" spans="2:10" s="3" customFormat="1" ht="18" customHeight="1" x14ac:dyDescent="0.3">
      <c r="B36" s="134" t="s">
        <v>1782</v>
      </c>
      <c r="C36" s="134" t="s">
        <v>1785</v>
      </c>
      <c r="D36" s="134" t="s">
        <v>1789</v>
      </c>
      <c r="E36" s="134" t="s">
        <v>1779</v>
      </c>
      <c r="F36" s="135">
        <v>91224</v>
      </c>
      <c r="G36" s="135">
        <v>66593.52</v>
      </c>
      <c r="H36" s="135">
        <f t="shared" si="0"/>
        <v>24630.479999999996</v>
      </c>
      <c r="I36" s="136">
        <v>0.65</v>
      </c>
      <c r="J36" s="137">
        <v>6</v>
      </c>
    </row>
    <row r="37" spans="2:10" s="3" customFormat="1" ht="18" customHeight="1" x14ac:dyDescent="0.3">
      <c r="B37" s="134" t="s">
        <v>1782</v>
      </c>
      <c r="C37" s="134" t="s">
        <v>1785</v>
      </c>
      <c r="D37" s="134" t="s">
        <v>1789</v>
      </c>
      <c r="E37" s="134" t="s">
        <v>1779</v>
      </c>
      <c r="F37" s="135">
        <v>91224</v>
      </c>
      <c r="G37" s="135">
        <v>127713.60000000001</v>
      </c>
      <c r="H37" s="135">
        <f t="shared" si="0"/>
        <v>-36489.600000000006</v>
      </c>
      <c r="I37" s="136">
        <v>0.247</v>
      </c>
      <c r="J37" s="137">
        <v>4</v>
      </c>
    </row>
    <row r="38" spans="2:10" s="3" customFormat="1" ht="18" customHeight="1" x14ac:dyDescent="0.3">
      <c r="B38" s="134" t="s">
        <v>1782</v>
      </c>
      <c r="C38" s="134" t="s">
        <v>1785</v>
      </c>
      <c r="D38" s="134" t="s">
        <v>1789</v>
      </c>
      <c r="E38" s="134" t="s">
        <v>1779</v>
      </c>
      <c r="F38" s="135">
        <v>71676</v>
      </c>
      <c r="G38" s="135">
        <v>70959.240000000005</v>
      </c>
      <c r="H38" s="135">
        <f t="shared" si="0"/>
        <v>716.75999999999476</v>
      </c>
      <c r="I38" s="136">
        <v>0.13400000000000001</v>
      </c>
      <c r="J38" s="137">
        <v>9</v>
      </c>
    </row>
    <row r="39" spans="2:10" s="3" customFormat="1" ht="18" customHeight="1" x14ac:dyDescent="0.3">
      <c r="B39" s="134" t="s">
        <v>1782</v>
      </c>
      <c r="C39" s="134" t="s">
        <v>1785</v>
      </c>
      <c r="D39" s="134" t="s">
        <v>1789</v>
      </c>
      <c r="E39" s="134" t="s">
        <v>1778</v>
      </c>
      <c r="F39" s="135">
        <v>217504</v>
      </c>
      <c r="G39" s="135">
        <v>184878.4</v>
      </c>
      <c r="H39" s="135">
        <f t="shared" si="0"/>
        <v>32625.600000000006</v>
      </c>
      <c r="I39" s="136">
        <v>0.23300000000000001</v>
      </c>
      <c r="J39" s="137">
        <v>9</v>
      </c>
    </row>
    <row r="40" spans="2:10" s="3" customFormat="1" ht="18" customHeight="1" x14ac:dyDescent="0.3">
      <c r="B40" s="134" t="s">
        <v>1782</v>
      </c>
      <c r="C40" s="134" t="s">
        <v>1785</v>
      </c>
      <c r="D40" s="134" t="s">
        <v>1789</v>
      </c>
      <c r="E40" s="134" t="s">
        <v>1778</v>
      </c>
      <c r="F40" s="135">
        <v>128563.2</v>
      </c>
      <c r="G40" s="135">
        <v>119563.776</v>
      </c>
      <c r="H40" s="135">
        <f t="shared" si="0"/>
        <v>8999.4239999999991</v>
      </c>
      <c r="I40" s="136">
        <v>0.154</v>
      </c>
      <c r="J40" s="137">
        <v>3</v>
      </c>
    </row>
    <row r="41" spans="2:10" s="3" customFormat="1" ht="18" customHeight="1" x14ac:dyDescent="0.3">
      <c r="B41" s="134" t="s">
        <v>1790</v>
      </c>
      <c r="C41" s="134" t="s">
        <v>1776</v>
      </c>
      <c r="D41" s="134" t="s">
        <v>1777</v>
      </c>
      <c r="E41" s="134" t="s">
        <v>1791</v>
      </c>
      <c r="F41" s="135">
        <v>94936.320000000007</v>
      </c>
      <c r="G41" s="135">
        <v>77847.782399999996</v>
      </c>
      <c r="H41" s="135">
        <f t="shared" si="0"/>
        <v>17088.537600000011</v>
      </c>
      <c r="I41" s="136">
        <v>0.56399999999999995</v>
      </c>
      <c r="J41" s="137">
        <v>8</v>
      </c>
    </row>
    <row r="42" spans="2:10" s="3" customFormat="1" ht="18" customHeight="1" x14ac:dyDescent="0.3">
      <c r="B42" s="134" t="s">
        <v>1790</v>
      </c>
      <c r="C42" s="134" t="s">
        <v>1776</v>
      </c>
      <c r="D42" s="134" t="s">
        <v>1777</v>
      </c>
      <c r="E42" s="134" t="s">
        <v>1792</v>
      </c>
      <c r="F42" s="135">
        <v>90305.279999999999</v>
      </c>
      <c r="G42" s="135">
        <v>70438.118399999992</v>
      </c>
      <c r="H42" s="135">
        <f t="shared" si="0"/>
        <v>19867.161600000007</v>
      </c>
      <c r="I42" s="138">
        <v>0.26500000000000001</v>
      </c>
      <c r="J42" s="137">
        <v>2</v>
      </c>
    </row>
    <row r="43" spans="2:10" s="3" customFormat="1" ht="18" customHeight="1" x14ac:dyDescent="0.3">
      <c r="B43" s="134" t="s">
        <v>1790</v>
      </c>
      <c r="C43" s="134" t="s">
        <v>1776</v>
      </c>
      <c r="D43" s="134" t="s">
        <v>1777</v>
      </c>
      <c r="E43" s="134" t="s">
        <v>1791</v>
      </c>
      <c r="F43" s="135">
        <v>519480</v>
      </c>
      <c r="G43" s="135">
        <v>441558</v>
      </c>
      <c r="H43" s="135">
        <f t="shared" si="0"/>
        <v>77922</v>
      </c>
      <c r="I43" s="136">
        <v>0.39800000000000002</v>
      </c>
      <c r="J43" s="137">
        <v>6</v>
      </c>
    </row>
    <row r="44" spans="2:10" s="3" customFormat="1" ht="18" customHeight="1" x14ac:dyDescent="0.3">
      <c r="B44" s="134" t="s">
        <v>1790</v>
      </c>
      <c r="C44" s="134" t="s">
        <v>1776</v>
      </c>
      <c r="D44" s="134" t="s">
        <v>1777</v>
      </c>
      <c r="E44" s="134" t="s">
        <v>1792</v>
      </c>
      <c r="F44" s="135">
        <v>91238.399999999994</v>
      </c>
      <c r="G44" s="135">
        <v>90326.015999999989</v>
      </c>
      <c r="H44" s="135">
        <f t="shared" si="0"/>
        <v>912.38400000000547</v>
      </c>
      <c r="I44" s="136">
        <v>0.315</v>
      </c>
      <c r="J44" s="137">
        <v>9</v>
      </c>
    </row>
    <row r="45" spans="2:10" s="3" customFormat="1" ht="18" customHeight="1" x14ac:dyDescent="0.3">
      <c r="B45" s="134" t="s">
        <v>1790</v>
      </c>
      <c r="C45" s="134" t="s">
        <v>1776</v>
      </c>
      <c r="D45" s="134" t="s">
        <v>1780</v>
      </c>
      <c r="E45" s="134" t="s">
        <v>1792</v>
      </c>
      <c r="F45" s="135">
        <v>92620.800000000003</v>
      </c>
      <c r="G45" s="135">
        <v>104661.504</v>
      </c>
      <c r="H45" s="135">
        <f t="shared" si="0"/>
        <v>-12040.703999999998</v>
      </c>
      <c r="I45" s="136">
        <v>0.255</v>
      </c>
      <c r="J45" s="137">
        <v>9</v>
      </c>
    </row>
    <row r="46" spans="2:10" s="3" customFormat="1" ht="18" customHeight="1" x14ac:dyDescent="0.3">
      <c r="B46" s="134" t="s">
        <v>1790</v>
      </c>
      <c r="C46" s="134" t="s">
        <v>1776</v>
      </c>
      <c r="D46" s="134" t="s">
        <v>1780</v>
      </c>
      <c r="E46" s="134" t="s">
        <v>1791</v>
      </c>
      <c r="F46" s="135">
        <v>69465.600000000006</v>
      </c>
      <c r="G46" s="135">
        <v>66686.975999999995</v>
      </c>
      <c r="H46" s="135">
        <f t="shared" si="0"/>
        <v>2778.6240000000107</v>
      </c>
      <c r="I46" s="136">
        <v>0.56399999999999995</v>
      </c>
      <c r="J46" s="137">
        <v>8</v>
      </c>
    </row>
    <row r="47" spans="2:10" s="3" customFormat="1" ht="18" customHeight="1" x14ac:dyDescent="0.3">
      <c r="B47" s="134" t="s">
        <v>1790</v>
      </c>
      <c r="C47" s="134" t="s">
        <v>1776</v>
      </c>
      <c r="D47" s="134" t="s">
        <v>1780</v>
      </c>
      <c r="E47" s="134" t="s">
        <v>1792</v>
      </c>
      <c r="F47" s="135">
        <v>154275.84</v>
      </c>
      <c r="G47" s="135">
        <v>143476.5312</v>
      </c>
      <c r="H47" s="135">
        <f t="shared" si="0"/>
        <v>10799.308799999999</v>
      </c>
      <c r="I47" s="136">
        <v>0.318</v>
      </c>
      <c r="J47" s="137">
        <v>4</v>
      </c>
    </row>
    <row r="48" spans="2:10" s="3" customFormat="1" ht="18" customHeight="1" x14ac:dyDescent="0.3">
      <c r="B48" s="134" t="s">
        <v>1790</v>
      </c>
      <c r="C48" s="134" t="s">
        <v>1776</v>
      </c>
      <c r="D48" s="134" t="s">
        <v>1780</v>
      </c>
      <c r="E48" s="134" t="s">
        <v>1791</v>
      </c>
      <c r="F48" s="135">
        <v>113923.584</v>
      </c>
      <c r="G48" s="135">
        <v>93417.338879999996</v>
      </c>
      <c r="H48" s="135">
        <f t="shared" si="0"/>
        <v>20506.245120000007</v>
      </c>
      <c r="I48" s="136">
        <v>0.187</v>
      </c>
      <c r="J48" s="137">
        <v>5</v>
      </c>
    </row>
    <row r="49" spans="2:10" s="3" customFormat="1" ht="18" customHeight="1" x14ac:dyDescent="0.3">
      <c r="B49" s="134" t="s">
        <v>1790</v>
      </c>
      <c r="C49" s="134" t="s">
        <v>1776</v>
      </c>
      <c r="D49" s="134" t="s">
        <v>1781</v>
      </c>
      <c r="E49" s="134" t="s">
        <v>1792</v>
      </c>
      <c r="F49" s="135">
        <v>94936.320000000007</v>
      </c>
      <c r="G49" s="135">
        <v>77847.782399999996</v>
      </c>
      <c r="H49" s="135">
        <f t="shared" si="0"/>
        <v>17088.537600000011</v>
      </c>
      <c r="I49" s="136">
        <v>0.13400000000000001</v>
      </c>
      <c r="J49" s="137">
        <v>4</v>
      </c>
    </row>
    <row r="50" spans="2:10" s="3" customFormat="1" ht="18" customHeight="1" x14ac:dyDescent="0.3">
      <c r="B50" s="134" t="s">
        <v>1790</v>
      </c>
      <c r="C50" s="134" t="s">
        <v>1776</v>
      </c>
      <c r="D50" s="134" t="s">
        <v>1781</v>
      </c>
      <c r="E50" s="134" t="s">
        <v>1791</v>
      </c>
      <c r="F50" s="135">
        <v>91463.039999999994</v>
      </c>
      <c r="G50" s="135">
        <v>72255.801599999992</v>
      </c>
      <c r="H50" s="135">
        <f t="shared" si="0"/>
        <v>19207.238400000002</v>
      </c>
      <c r="I50" s="136">
        <v>0.27600000000000002</v>
      </c>
      <c r="J50" s="137">
        <v>5</v>
      </c>
    </row>
    <row r="51" spans="2:10" s="3" customFormat="1" ht="18" customHeight="1" x14ac:dyDescent="0.3">
      <c r="B51" s="134" t="s">
        <v>1790</v>
      </c>
      <c r="C51" s="134" t="s">
        <v>1776</v>
      </c>
      <c r="D51" s="134" t="s">
        <v>1781</v>
      </c>
      <c r="E51" s="134" t="s">
        <v>1792</v>
      </c>
      <c r="F51" s="135">
        <v>1447185.6</v>
      </c>
      <c r="G51" s="135">
        <v>1287995.1840000001</v>
      </c>
      <c r="H51" s="135">
        <f t="shared" si="0"/>
        <v>159190.41599999997</v>
      </c>
      <c r="I51" s="136">
        <v>0.23300000000000001</v>
      </c>
      <c r="J51" s="137">
        <v>9</v>
      </c>
    </row>
    <row r="52" spans="2:10" s="3" customFormat="1" ht="18" customHeight="1" x14ac:dyDescent="0.3">
      <c r="B52" s="134" t="s">
        <v>1790</v>
      </c>
      <c r="C52" s="134" t="s">
        <v>1776</v>
      </c>
      <c r="D52" s="134" t="s">
        <v>1781</v>
      </c>
      <c r="E52" s="134" t="s">
        <v>1791</v>
      </c>
      <c r="F52" s="135">
        <v>154275.84</v>
      </c>
      <c r="G52" s="135">
        <v>143476.5312</v>
      </c>
      <c r="H52" s="135">
        <f t="shared" si="0"/>
        <v>10799.308799999999</v>
      </c>
      <c r="I52" s="136">
        <v>0.247</v>
      </c>
      <c r="J52" s="137">
        <v>8</v>
      </c>
    </row>
    <row r="53" spans="2:10" s="3" customFormat="1" ht="18" customHeight="1" x14ac:dyDescent="0.3">
      <c r="B53" s="134" t="s">
        <v>1790</v>
      </c>
      <c r="C53" s="134" t="s">
        <v>1776</v>
      </c>
      <c r="D53" s="134" t="s">
        <v>1781</v>
      </c>
      <c r="E53" s="134" t="s">
        <v>1792</v>
      </c>
      <c r="F53" s="135">
        <v>113923.584</v>
      </c>
      <c r="G53" s="135">
        <v>93417.338879999996</v>
      </c>
      <c r="H53" s="135">
        <f t="shared" si="0"/>
        <v>20506.245120000007</v>
      </c>
      <c r="I53" s="136">
        <v>0.35599999999999998</v>
      </c>
      <c r="J53" s="137">
        <v>2</v>
      </c>
    </row>
    <row r="54" spans="2:10" s="3" customFormat="1" ht="18" customHeight="1" x14ac:dyDescent="0.3">
      <c r="B54" s="134" t="s">
        <v>1793</v>
      </c>
      <c r="C54" s="134" t="s">
        <v>1783</v>
      </c>
      <c r="D54" s="134" t="s">
        <v>1784</v>
      </c>
      <c r="E54" s="134" t="s">
        <v>1778</v>
      </c>
      <c r="F54" s="135">
        <v>1205988</v>
      </c>
      <c r="G54" s="135">
        <v>1073329.32</v>
      </c>
      <c r="H54" s="135">
        <f t="shared" si="0"/>
        <v>132658.67999999993</v>
      </c>
      <c r="I54" s="136">
        <v>0.432</v>
      </c>
      <c r="J54" s="137">
        <v>10</v>
      </c>
    </row>
    <row r="55" spans="2:10" s="3" customFormat="1" ht="18" customHeight="1" x14ac:dyDescent="0.3">
      <c r="B55" s="134" t="s">
        <v>1793</v>
      </c>
      <c r="C55" s="134" t="s">
        <v>1783</v>
      </c>
      <c r="D55" s="134" t="s">
        <v>1784</v>
      </c>
      <c r="E55" s="134" t="s">
        <v>1778</v>
      </c>
      <c r="F55" s="135">
        <f>128563.2+200000</f>
        <v>328563.20000000001</v>
      </c>
      <c r="G55" s="135">
        <v>305563.77600000001</v>
      </c>
      <c r="H55" s="135">
        <f t="shared" si="0"/>
        <v>22999.423999999999</v>
      </c>
      <c r="I55" s="138">
        <v>0.39800000000000002</v>
      </c>
      <c r="J55" s="137">
        <v>3</v>
      </c>
    </row>
    <row r="56" spans="2:10" s="3" customFormat="1" ht="18" customHeight="1" x14ac:dyDescent="0.3">
      <c r="B56" s="134" t="s">
        <v>1794</v>
      </c>
      <c r="C56" s="134" t="s">
        <v>1783</v>
      </c>
      <c r="D56" s="134" t="s">
        <v>1784</v>
      </c>
      <c r="E56" s="134" t="s">
        <v>1779</v>
      </c>
      <c r="F56" s="135">
        <v>71676</v>
      </c>
      <c r="G56" s="135">
        <v>70959.240000000005</v>
      </c>
      <c r="H56" s="135">
        <f t="shared" si="0"/>
        <v>716.75999999999476</v>
      </c>
      <c r="I56" s="136">
        <v>0.53300000000000003</v>
      </c>
      <c r="J56" s="137">
        <v>1</v>
      </c>
    </row>
    <row r="57" spans="2:10" s="3" customFormat="1" ht="18" customHeight="1" x14ac:dyDescent="0.3">
      <c r="B57" s="134" t="s">
        <v>1794</v>
      </c>
      <c r="C57" s="134" t="s">
        <v>1783</v>
      </c>
      <c r="D57" s="134" t="s">
        <v>1784</v>
      </c>
      <c r="E57" s="134" t="s">
        <v>1791</v>
      </c>
      <c r="F57" s="135">
        <v>51480</v>
      </c>
      <c r="G57" s="135">
        <v>58172.4</v>
      </c>
      <c r="H57" s="135">
        <f t="shared" si="0"/>
        <v>-6692.4000000000015</v>
      </c>
      <c r="I57" s="138">
        <v>0.26500000000000001</v>
      </c>
      <c r="J57" s="137">
        <v>9</v>
      </c>
    </row>
    <row r="58" spans="2:10" s="3" customFormat="1" ht="18" customHeight="1" x14ac:dyDescent="0.3">
      <c r="B58" s="134" t="s">
        <v>1794</v>
      </c>
      <c r="C58" s="134" t="s">
        <v>1783</v>
      </c>
      <c r="D58" s="134" t="s">
        <v>1784</v>
      </c>
      <c r="E58" s="134" t="s">
        <v>1791</v>
      </c>
      <c r="F58" s="135">
        <v>39600</v>
      </c>
      <c r="G58" s="135">
        <v>38016</v>
      </c>
      <c r="H58" s="135">
        <f t="shared" si="0"/>
        <v>1584</v>
      </c>
      <c r="I58" s="136">
        <v>0.56399999999999995</v>
      </c>
      <c r="J58" s="137">
        <v>2</v>
      </c>
    </row>
    <row r="59" spans="2:10" s="3" customFormat="1" ht="18" customHeight="1" x14ac:dyDescent="0.3">
      <c r="B59" s="134" t="s">
        <v>1794</v>
      </c>
      <c r="C59" s="134" t="s">
        <v>1783</v>
      </c>
      <c r="D59" s="134" t="s">
        <v>1784</v>
      </c>
      <c r="E59" s="134" t="s">
        <v>1792</v>
      </c>
      <c r="F59" s="135">
        <v>79113.600000000006</v>
      </c>
      <c r="G59" s="135">
        <v>64873.152000000002</v>
      </c>
      <c r="H59" s="135">
        <f t="shared" si="0"/>
        <v>14240.448000000004</v>
      </c>
      <c r="I59" s="136">
        <v>0.27600000000000002</v>
      </c>
      <c r="J59" s="137">
        <v>0</v>
      </c>
    </row>
    <row r="60" spans="2:10" s="3" customFormat="1" ht="18" customHeight="1" x14ac:dyDescent="0.3">
      <c r="B60" s="134" t="s">
        <v>1794</v>
      </c>
      <c r="C60" s="134" t="s">
        <v>1783</v>
      </c>
      <c r="D60" s="134" t="s">
        <v>1784</v>
      </c>
      <c r="E60" s="134" t="s">
        <v>1792</v>
      </c>
      <c r="F60" s="135">
        <v>79113.600000000006</v>
      </c>
      <c r="G60" s="135">
        <v>64873.152000000002</v>
      </c>
      <c r="H60" s="135">
        <f t="shared" si="0"/>
        <v>14240.448000000004</v>
      </c>
      <c r="I60" s="136">
        <v>0.54400000000000004</v>
      </c>
      <c r="J60" s="137">
        <v>6</v>
      </c>
    </row>
    <row r="61" spans="2:10" s="3" customFormat="1" ht="18" customHeight="1" x14ac:dyDescent="0.3">
      <c r="B61" s="134" t="s">
        <v>1794</v>
      </c>
      <c r="C61" s="134" t="s">
        <v>1783</v>
      </c>
      <c r="D61" s="134" t="s">
        <v>1784</v>
      </c>
      <c r="E61" s="134" t="s">
        <v>1792</v>
      </c>
      <c r="F61" s="135">
        <v>57888</v>
      </c>
      <c r="G61" s="135">
        <v>55572.480000000003</v>
      </c>
      <c r="H61" s="135">
        <f t="shared" si="0"/>
        <v>2315.5199999999968</v>
      </c>
      <c r="I61" s="136">
        <v>0.315</v>
      </c>
      <c r="J61" s="137">
        <v>5</v>
      </c>
    </row>
    <row r="62" spans="2:10" s="3" customFormat="1" ht="18" customHeight="1" x14ac:dyDescent="0.3">
      <c r="B62" s="134" t="s">
        <v>1794</v>
      </c>
      <c r="C62" s="134" t="s">
        <v>1783</v>
      </c>
      <c r="D62" s="134" t="s">
        <v>1784</v>
      </c>
      <c r="E62" s="134" t="s">
        <v>1792</v>
      </c>
      <c r="F62" s="135">
        <v>57888</v>
      </c>
      <c r="G62" s="135">
        <v>55572.480000000003</v>
      </c>
      <c r="H62" s="135">
        <f t="shared" si="0"/>
        <v>2315.5199999999968</v>
      </c>
      <c r="I62" s="136">
        <v>0.187</v>
      </c>
      <c r="J62" s="137">
        <v>3</v>
      </c>
    </row>
    <row r="63" spans="2:10" s="3" customFormat="1" ht="18" customHeight="1" x14ac:dyDescent="0.3">
      <c r="B63" s="134" t="s">
        <v>1794</v>
      </c>
      <c r="C63" s="134" t="s">
        <v>1785</v>
      </c>
      <c r="D63" s="134" t="s">
        <v>1786</v>
      </c>
      <c r="E63" s="134" t="s">
        <v>1791</v>
      </c>
      <c r="F63" s="135">
        <v>52800</v>
      </c>
      <c r="G63" s="135">
        <v>59664</v>
      </c>
      <c r="H63" s="135">
        <f t="shared" si="0"/>
        <v>-6864</v>
      </c>
      <c r="I63" s="136">
        <v>0.255</v>
      </c>
      <c r="J63" s="137">
        <v>8</v>
      </c>
    </row>
    <row r="64" spans="2:10" s="3" customFormat="1" ht="18" customHeight="1" x14ac:dyDescent="0.3">
      <c r="B64" s="134" t="s">
        <v>1794</v>
      </c>
      <c r="C64" s="134" t="s">
        <v>1785</v>
      </c>
      <c r="D64" s="134" t="s">
        <v>1786</v>
      </c>
      <c r="E64" s="134" t="s">
        <v>1791</v>
      </c>
      <c r="F64" s="135">
        <v>52140</v>
      </c>
      <c r="G64" s="135">
        <v>41190.6</v>
      </c>
      <c r="H64" s="135">
        <f t="shared" si="0"/>
        <v>10949.400000000001</v>
      </c>
      <c r="I64" s="136">
        <v>0.35599999999999998</v>
      </c>
      <c r="J64" s="137">
        <v>5</v>
      </c>
    </row>
    <row r="65" spans="2:10" s="3" customFormat="1" ht="18" customHeight="1" x14ac:dyDescent="0.3">
      <c r="B65" s="134" t="s">
        <v>1794</v>
      </c>
      <c r="C65" s="134" t="s">
        <v>1785</v>
      </c>
      <c r="D65" s="134" t="s">
        <v>1786</v>
      </c>
      <c r="E65" s="134" t="s">
        <v>1791</v>
      </c>
      <c r="F65" s="135">
        <v>52140</v>
      </c>
      <c r="G65" s="135">
        <v>41190.6</v>
      </c>
      <c r="H65" s="135">
        <f t="shared" si="0"/>
        <v>10949.400000000001</v>
      </c>
      <c r="I65" s="136">
        <v>0.27600000000000002</v>
      </c>
      <c r="J65" s="137">
        <v>6</v>
      </c>
    </row>
    <row r="66" spans="2:10" s="3" customFormat="1" ht="18" customHeight="1" x14ac:dyDescent="0.3">
      <c r="B66" s="134" t="s">
        <v>1794</v>
      </c>
      <c r="C66" s="134" t="s">
        <v>1785</v>
      </c>
      <c r="D66" s="134" t="s">
        <v>1786</v>
      </c>
      <c r="E66" s="134" t="s">
        <v>1792</v>
      </c>
      <c r="F66" s="135">
        <v>77184</v>
      </c>
      <c r="G66" s="135">
        <v>68693.759999999995</v>
      </c>
      <c r="H66" s="135">
        <f t="shared" si="0"/>
        <v>8490.2400000000052</v>
      </c>
      <c r="I66" s="136">
        <v>0.255</v>
      </c>
      <c r="J66" s="137">
        <v>5</v>
      </c>
    </row>
    <row r="67" spans="2:10" s="3" customFormat="1" ht="18" customHeight="1" x14ac:dyDescent="0.3">
      <c r="B67" s="134" t="s">
        <v>1794</v>
      </c>
      <c r="C67" s="134" t="s">
        <v>1785</v>
      </c>
      <c r="D67" s="134" t="s">
        <v>1786</v>
      </c>
      <c r="E67" s="134" t="s">
        <v>1792</v>
      </c>
      <c r="F67" s="135">
        <v>77184</v>
      </c>
      <c r="G67" s="135">
        <v>87217.919999999998</v>
      </c>
      <c r="H67" s="135">
        <f t="shared" si="0"/>
        <v>-10033.919999999998</v>
      </c>
      <c r="I67" s="136">
        <v>0.56399999999999995</v>
      </c>
      <c r="J67" s="137">
        <v>5</v>
      </c>
    </row>
    <row r="68" spans="2:10" s="3" customFormat="1" ht="18" customHeight="1" x14ac:dyDescent="0.3">
      <c r="B68" s="134" t="s">
        <v>1794</v>
      </c>
      <c r="C68" s="134" t="s">
        <v>1785</v>
      </c>
      <c r="D68" s="134" t="s">
        <v>1786</v>
      </c>
      <c r="E68" s="134" t="s">
        <v>1792</v>
      </c>
      <c r="F68" s="135">
        <v>76219.199999999997</v>
      </c>
      <c r="G68" s="135">
        <v>60213.167999999998</v>
      </c>
      <c r="H68" s="135">
        <f t="shared" si="0"/>
        <v>16006.031999999999</v>
      </c>
      <c r="I68" s="136">
        <v>0.54400000000000004</v>
      </c>
      <c r="J68" s="137">
        <v>1</v>
      </c>
    </row>
    <row r="69" spans="2:10" s="3" customFormat="1" ht="18" customHeight="1" x14ac:dyDescent="0.3">
      <c r="B69" s="134" t="s">
        <v>1794</v>
      </c>
      <c r="C69" s="134" t="s">
        <v>1785</v>
      </c>
      <c r="D69" s="134" t="s">
        <v>1786</v>
      </c>
      <c r="E69" s="134" t="s">
        <v>1792</v>
      </c>
      <c r="F69" s="135">
        <v>75254.399999999994</v>
      </c>
      <c r="G69" s="135">
        <v>58698.432000000001</v>
      </c>
      <c r="H69" s="135">
        <f t="shared" si="0"/>
        <v>16555.967999999993</v>
      </c>
      <c r="I69" s="136">
        <v>0.255</v>
      </c>
      <c r="J69" s="137">
        <v>9</v>
      </c>
    </row>
    <row r="70" spans="2:10" s="3" customFormat="1" ht="18" customHeight="1" x14ac:dyDescent="0.3">
      <c r="B70" s="134" t="s">
        <v>1794</v>
      </c>
      <c r="C70" s="134" t="s">
        <v>1783</v>
      </c>
      <c r="D70" s="134" t="s">
        <v>1787</v>
      </c>
      <c r="E70" s="134" t="s">
        <v>1791</v>
      </c>
      <c r="F70" s="135">
        <v>52800</v>
      </c>
      <c r="G70" s="135">
        <v>46992</v>
      </c>
      <c r="H70" s="135">
        <f t="shared" si="0"/>
        <v>5808</v>
      </c>
      <c r="I70" s="136">
        <v>0.187</v>
      </c>
      <c r="J70" s="137">
        <v>9</v>
      </c>
    </row>
    <row r="71" spans="2:10" s="3" customFormat="1" ht="18" customHeight="1" x14ac:dyDescent="0.3">
      <c r="B71" s="134" t="s">
        <v>1794</v>
      </c>
      <c r="C71" s="134" t="s">
        <v>1783</v>
      </c>
      <c r="D71" s="134" t="s">
        <v>1787</v>
      </c>
      <c r="E71" s="134" t="s">
        <v>1792</v>
      </c>
      <c r="F71" s="135">
        <v>76219.199999999997</v>
      </c>
      <c r="G71" s="135">
        <v>60213.167999999998</v>
      </c>
      <c r="H71" s="135">
        <f t="shared" si="0"/>
        <v>16006.031999999999</v>
      </c>
      <c r="I71" s="136">
        <v>0.26500000000000001</v>
      </c>
      <c r="J71" s="137">
        <v>7</v>
      </c>
    </row>
    <row r="72" spans="2:10" s="3" customFormat="1" ht="18" customHeight="1" x14ac:dyDescent="0.3">
      <c r="B72" s="134" t="s">
        <v>1794</v>
      </c>
      <c r="C72" s="134" t="s">
        <v>1783</v>
      </c>
      <c r="D72" s="134" t="s">
        <v>1787</v>
      </c>
      <c r="E72" s="134" t="s">
        <v>1792</v>
      </c>
      <c r="F72" s="135">
        <v>75254.399999999994</v>
      </c>
      <c r="G72" s="135">
        <v>58698.432000000001</v>
      </c>
      <c r="H72" s="135">
        <f t="shared" si="0"/>
        <v>16555.967999999993</v>
      </c>
      <c r="I72" s="136">
        <v>0.35599999999999998</v>
      </c>
      <c r="J72" s="137">
        <v>5</v>
      </c>
    </row>
    <row r="73" spans="2:10" s="3" customFormat="1" ht="18" customHeight="1" x14ac:dyDescent="0.3">
      <c r="B73" s="134" t="s">
        <v>1794</v>
      </c>
      <c r="C73" s="134" t="s">
        <v>1783</v>
      </c>
      <c r="D73" s="134" t="s">
        <v>1787</v>
      </c>
      <c r="E73" s="134" t="s">
        <v>1778</v>
      </c>
      <c r="F73" s="135">
        <v>296700</v>
      </c>
      <c r="G73" s="135">
        <v>216591</v>
      </c>
      <c r="H73" s="135">
        <f t="shared" si="0"/>
        <v>80109</v>
      </c>
      <c r="I73" s="136">
        <v>0.23300000000000001</v>
      </c>
      <c r="J73" s="137">
        <v>1</v>
      </c>
    </row>
    <row r="74" spans="2:10" s="3" customFormat="1" ht="18" customHeight="1" x14ac:dyDescent="0.3">
      <c r="B74" s="134" t="s">
        <v>1794</v>
      </c>
      <c r="C74" s="134" t="s">
        <v>1785</v>
      </c>
      <c r="D74" s="134" t="s">
        <v>1789</v>
      </c>
      <c r="E74" s="134" t="s">
        <v>1791</v>
      </c>
      <c r="F74" s="135">
        <v>54120</v>
      </c>
      <c r="G74" s="135">
        <v>44378.400000000001</v>
      </c>
      <c r="H74" s="135">
        <f t="shared" si="0"/>
        <v>9741.5999999999985</v>
      </c>
      <c r="I74" s="136">
        <v>0.315</v>
      </c>
      <c r="J74" s="137">
        <v>8</v>
      </c>
    </row>
    <row r="75" spans="2:10" s="3" customFormat="1" ht="18" customHeight="1" x14ac:dyDescent="0.3">
      <c r="B75" s="134" t="s">
        <v>1794</v>
      </c>
      <c r="C75" s="134" t="s">
        <v>1785</v>
      </c>
      <c r="D75" s="134" t="s">
        <v>1789</v>
      </c>
      <c r="E75" s="134" t="s">
        <v>1791</v>
      </c>
      <c r="F75" s="135">
        <v>54120</v>
      </c>
      <c r="G75" s="135">
        <v>44378.400000000001</v>
      </c>
      <c r="H75" s="135">
        <f>F75-G75</f>
        <v>9741.5999999999985</v>
      </c>
      <c r="I75" s="136">
        <v>0.56399999999999995</v>
      </c>
      <c r="J75" s="137">
        <v>3</v>
      </c>
    </row>
    <row r="76" spans="2:10" s="3" customFormat="1" ht="18" customHeight="1" x14ac:dyDescent="0.3">
      <c r="B76" s="134" t="s">
        <v>1794</v>
      </c>
      <c r="C76" s="134" t="s">
        <v>1785</v>
      </c>
      <c r="D76" s="134" t="s">
        <v>1789</v>
      </c>
      <c r="E76" s="134" t="s">
        <v>1791</v>
      </c>
      <c r="F76" s="135">
        <v>51480</v>
      </c>
      <c r="G76" s="135">
        <v>40154.400000000001</v>
      </c>
      <c r="H76" s="135">
        <f>F76-G76</f>
        <v>11325.599999999999</v>
      </c>
      <c r="I76" s="136">
        <v>0.255</v>
      </c>
      <c r="J76" s="137">
        <v>2</v>
      </c>
    </row>
    <row r="77" spans="2:10" s="3" customFormat="1" ht="18" customHeight="1" x14ac:dyDescent="0.3">
      <c r="B77" s="134" t="s">
        <v>1794</v>
      </c>
      <c r="C77" s="134" t="s">
        <v>1785</v>
      </c>
      <c r="D77" s="134" t="s">
        <v>1789</v>
      </c>
      <c r="E77" s="134" t="s">
        <v>1791</v>
      </c>
      <c r="F77" s="135">
        <v>39600</v>
      </c>
      <c r="G77" s="135">
        <v>38016</v>
      </c>
      <c r="H77" s="135">
        <f>F77-G77</f>
        <v>1584</v>
      </c>
      <c r="I77" s="136">
        <v>0.54400000000000004</v>
      </c>
      <c r="J77" s="137">
        <v>8</v>
      </c>
    </row>
    <row r="78" spans="2:10" s="3" customFormat="1" ht="18" customHeight="1" x14ac:dyDescent="0.3">
      <c r="B78" s="134" t="s">
        <v>1794</v>
      </c>
      <c r="C78" s="134" t="s">
        <v>1785</v>
      </c>
      <c r="D78" s="134" t="s">
        <v>1789</v>
      </c>
      <c r="E78" s="134" t="s">
        <v>1792</v>
      </c>
      <c r="F78" s="135">
        <v>79113.600000000006</v>
      </c>
      <c r="G78" s="135">
        <v>64873.152000000002</v>
      </c>
      <c r="H78" s="135">
        <f>F78-G78</f>
        <v>14240.448000000004</v>
      </c>
      <c r="I78" s="136">
        <v>0.255</v>
      </c>
      <c r="J78" s="137">
        <v>9</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zoomScale="90" zoomScaleNormal="90" workbookViewId="0">
      <selection activeCell="J10" sqref="J10"/>
    </sheetView>
  </sheetViews>
  <sheetFormatPr defaultColWidth="9.109375" defaultRowHeight="15.6" x14ac:dyDescent="0.3"/>
  <cols>
    <col min="1" max="1" width="9.109375" style="142"/>
    <col min="2" max="2" width="22.6640625" style="142" bestFit="1" customWidth="1"/>
    <col min="3" max="9" width="13.6640625" style="142" customWidth="1"/>
    <col min="10" max="10" width="21.6640625" style="142" customWidth="1"/>
    <col min="11" max="16384" width="9.109375" style="142"/>
  </cols>
  <sheetData>
    <row r="1" spans="1:12" ht="30" x14ac:dyDescent="0.5">
      <c r="A1" s="113" t="s">
        <v>1852</v>
      </c>
      <c r="B1" s="114"/>
      <c r="C1" s="3"/>
      <c r="D1" s="3"/>
      <c r="F1" s="3"/>
      <c r="G1" s="3"/>
      <c r="L1" s="633" t="s">
        <v>3016</v>
      </c>
    </row>
    <row r="3" spans="1:12" ht="21" x14ac:dyDescent="0.4">
      <c r="A3" s="3"/>
      <c r="B3" s="3"/>
      <c r="C3" s="3"/>
      <c r="D3" s="3"/>
      <c r="E3" s="262" t="s">
        <v>1021</v>
      </c>
      <c r="F3" s="3"/>
      <c r="G3" s="3"/>
      <c r="H3" s="3"/>
      <c r="I3" s="3"/>
    </row>
    <row r="4" spans="1:12" ht="18" x14ac:dyDescent="0.35">
      <c r="A4" s="3"/>
      <c r="B4" s="3"/>
      <c r="C4" s="3"/>
      <c r="D4" s="3"/>
      <c r="E4" s="263" t="s">
        <v>1022</v>
      </c>
      <c r="F4" s="3"/>
      <c r="G4" s="3"/>
      <c r="H4" s="3"/>
      <c r="I4" s="3"/>
    </row>
    <row r="5" spans="1:12" ht="31.2" x14ac:dyDescent="0.3">
      <c r="A5" s="3"/>
      <c r="B5" s="264" t="s">
        <v>179</v>
      </c>
      <c r="C5" s="264" t="s">
        <v>1023</v>
      </c>
      <c r="D5" s="264" t="s">
        <v>1024</v>
      </c>
      <c r="E5" s="264" t="s">
        <v>1025</v>
      </c>
      <c r="F5" s="264" t="s">
        <v>1026</v>
      </c>
      <c r="G5" s="264" t="s">
        <v>1027</v>
      </c>
      <c r="H5" s="264" t="s">
        <v>1028</v>
      </c>
      <c r="I5" s="264" t="s">
        <v>1029</v>
      </c>
    </row>
    <row r="6" spans="1:12" x14ac:dyDescent="0.3">
      <c r="A6" s="3"/>
      <c r="B6" s="265" t="s">
        <v>746</v>
      </c>
      <c r="C6" s="142">
        <v>4</v>
      </c>
      <c r="D6" s="142">
        <v>1</v>
      </c>
      <c r="E6" s="142">
        <v>4</v>
      </c>
      <c r="F6" s="3"/>
      <c r="G6" s="142">
        <v>1</v>
      </c>
      <c r="H6" s="142">
        <v>3</v>
      </c>
      <c r="I6" s="142">
        <v>13</v>
      </c>
      <c r="J6" s="174" t="str">
        <f>IF(AND(C6&gt;2,G6&gt;2),"Target Customer","")</f>
        <v/>
      </c>
    </row>
    <row r="7" spans="1:12" x14ac:dyDescent="0.3">
      <c r="A7" s="3"/>
      <c r="B7" s="265" t="s">
        <v>751</v>
      </c>
      <c r="C7" s="3"/>
      <c r="D7" s="142">
        <v>2</v>
      </c>
      <c r="E7" s="142">
        <v>1</v>
      </c>
      <c r="F7" s="142">
        <v>2</v>
      </c>
      <c r="G7" s="142">
        <v>3</v>
      </c>
      <c r="H7" s="3"/>
      <c r="I7" s="142">
        <v>8</v>
      </c>
      <c r="J7" s="174" t="str">
        <f t="shared" ref="J7:J27" si="0">IF(AND(C7&gt;2,G7&gt;2),"Target Customer","")</f>
        <v/>
      </c>
    </row>
    <row r="8" spans="1:12" x14ac:dyDescent="0.3">
      <c r="A8" s="3"/>
      <c r="B8" s="265" t="s">
        <v>752</v>
      </c>
      <c r="C8" s="142">
        <v>1</v>
      </c>
      <c r="D8" s="3"/>
      <c r="E8" s="142">
        <v>1</v>
      </c>
      <c r="F8" s="142">
        <v>2</v>
      </c>
      <c r="G8" s="3"/>
      <c r="H8" s="3"/>
      <c r="I8" s="142">
        <v>4</v>
      </c>
      <c r="J8" s="174" t="str">
        <f t="shared" si="0"/>
        <v/>
      </c>
    </row>
    <row r="9" spans="1:12" x14ac:dyDescent="0.3">
      <c r="A9" s="3"/>
      <c r="B9" s="265" t="s">
        <v>756</v>
      </c>
      <c r="C9" s="3"/>
      <c r="D9" s="3"/>
      <c r="E9" s="142">
        <v>3</v>
      </c>
      <c r="F9" s="3"/>
      <c r="G9" s="142">
        <v>3</v>
      </c>
      <c r="H9" s="142">
        <v>4</v>
      </c>
      <c r="I9" s="142">
        <v>10</v>
      </c>
      <c r="J9" s="174" t="str">
        <f t="shared" si="0"/>
        <v/>
      </c>
    </row>
    <row r="10" spans="1:12" x14ac:dyDescent="0.3">
      <c r="A10" s="3"/>
      <c r="B10" s="266" t="s">
        <v>757</v>
      </c>
      <c r="C10" s="142">
        <v>3</v>
      </c>
      <c r="D10" s="142">
        <v>3</v>
      </c>
      <c r="E10" s="3"/>
      <c r="F10" s="3"/>
      <c r="G10" s="267">
        <v>3</v>
      </c>
      <c r="H10" s="3"/>
      <c r="I10" s="142">
        <v>6</v>
      </c>
      <c r="J10" s="174" t="str">
        <f t="shared" si="0"/>
        <v>Target Customer</v>
      </c>
    </row>
    <row r="11" spans="1:12" x14ac:dyDescent="0.3">
      <c r="A11" s="3"/>
      <c r="B11" s="265" t="s">
        <v>760</v>
      </c>
      <c r="C11" s="142">
        <v>1</v>
      </c>
      <c r="D11" s="3"/>
      <c r="E11" s="142">
        <v>3</v>
      </c>
      <c r="F11" s="142">
        <v>2</v>
      </c>
      <c r="G11" s="142">
        <v>1</v>
      </c>
      <c r="H11" s="142">
        <v>1</v>
      </c>
      <c r="I11" s="142">
        <v>8</v>
      </c>
      <c r="J11" s="174" t="str">
        <f t="shared" si="0"/>
        <v/>
      </c>
    </row>
    <row r="12" spans="1:12" x14ac:dyDescent="0.3">
      <c r="A12" s="3"/>
      <c r="B12" s="265" t="s">
        <v>763</v>
      </c>
      <c r="C12" s="3"/>
      <c r="D12" s="3"/>
      <c r="E12" s="3"/>
      <c r="F12" s="3"/>
      <c r="G12" s="3"/>
      <c r="H12" s="3"/>
      <c r="I12" s="142">
        <v>0</v>
      </c>
      <c r="J12" s="174" t="str">
        <f t="shared" si="0"/>
        <v/>
      </c>
    </row>
    <row r="13" spans="1:12" x14ac:dyDescent="0.3">
      <c r="A13" s="3"/>
      <c r="B13" s="265" t="s">
        <v>768</v>
      </c>
      <c r="C13" s="142">
        <v>3</v>
      </c>
      <c r="D13" s="142">
        <v>3</v>
      </c>
      <c r="E13" s="3"/>
      <c r="F13" s="142">
        <v>3</v>
      </c>
      <c r="G13" s="3"/>
      <c r="H13" s="142">
        <v>4</v>
      </c>
      <c r="I13" s="142">
        <v>13</v>
      </c>
      <c r="J13" s="174" t="str">
        <f t="shared" si="0"/>
        <v/>
      </c>
    </row>
    <row r="14" spans="1:12" x14ac:dyDescent="0.3">
      <c r="A14" s="3"/>
      <c r="B14" s="265" t="s">
        <v>772</v>
      </c>
      <c r="C14" s="142">
        <v>3</v>
      </c>
      <c r="D14" s="142">
        <v>1</v>
      </c>
      <c r="E14" s="3"/>
      <c r="F14" s="3"/>
      <c r="G14" s="142">
        <v>6</v>
      </c>
      <c r="H14" s="3"/>
      <c r="I14" s="142">
        <v>7</v>
      </c>
      <c r="J14" s="174" t="str">
        <f t="shared" si="0"/>
        <v>Target Customer</v>
      </c>
    </row>
    <row r="15" spans="1:12" x14ac:dyDescent="0.3">
      <c r="B15" s="265" t="s">
        <v>773</v>
      </c>
      <c r="C15" s="3"/>
      <c r="D15" s="142">
        <v>2</v>
      </c>
      <c r="E15" s="142">
        <v>1</v>
      </c>
      <c r="F15" s="3"/>
      <c r="G15" s="142">
        <v>2</v>
      </c>
      <c r="H15" s="142">
        <v>3</v>
      </c>
      <c r="I15" s="142">
        <v>8</v>
      </c>
      <c r="J15" s="174" t="str">
        <f t="shared" si="0"/>
        <v/>
      </c>
    </row>
    <row r="16" spans="1:12" x14ac:dyDescent="0.3">
      <c r="B16" s="265" t="s">
        <v>774</v>
      </c>
      <c r="C16" s="142">
        <v>4</v>
      </c>
      <c r="D16" s="142">
        <v>3</v>
      </c>
      <c r="E16" s="3"/>
      <c r="F16" s="142">
        <v>4</v>
      </c>
      <c r="G16" s="3"/>
      <c r="H16" s="3"/>
      <c r="I16" s="142">
        <v>11</v>
      </c>
      <c r="J16" s="174" t="str">
        <f t="shared" si="0"/>
        <v/>
      </c>
    </row>
    <row r="17" spans="2:10" x14ac:dyDescent="0.3">
      <c r="B17" s="265" t="s">
        <v>778</v>
      </c>
      <c r="C17" s="3"/>
      <c r="D17" s="3"/>
      <c r="E17" s="142">
        <v>1</v>
      </c>
      <c r="F17" s="3"/>
      <c r="G17" s="3"/>
      <c r="H17" s="142">
        <v>2</v>
      </c>
      <c r="I17" s="142">
        <v>3</v>
      </c>
      <c r="J17" s="174" t="str">
        <f t="shared" si="0"/>
        <v/>
      </c>
    </row>
    <row r="18" spans="2:10" x14ac:dyDescent="0.3">
      <c r="B18" s="265" t="s">
        <v>783</v>
      </c>
      <c r="C18" s="142">
        <v>4</v>
      </c>
      <c r="D18" s="142">
        <v>3</v>
      </c>
      <c r="E18" s="3"/>
      <c r="F18" s="3"/>
      <c r="G18" s="142">
        <v>5</v>
      </c>
      <c r="H18" s="3"/>
      <c r="I18" s="142">
        <v>8</v>
      </c>
      <c r="J18" s="174" t="str">
        <f t="shared" si="0"/>
        <v>Target Customer</v>
      </c>
    </row>
    <row r="19" spans="2:10" x14ac:dyDescent="0.3">
      <c r="B19" s="265" t="s">
        <v>784</v>
      </c>
      <c r="C19" s="142">
        <v>3</v>
      </c>
      <c r="D19" s="142">
        <v>4</v>
      </c>
      <c r="E19" s="142">
        <v>2</v>
      </c>
      <c r="F19" s="3"/>
      <c r="G19" s="142">
        <v>1</v>
      </c>
      <c r="H19" s="3"/>
      <c r="I19" s="142">
        <v>10</v>
      </c>
      <c r="J19" s="174" t="str">
        <f t="shared" si="0"/>
        <v/>
      </c>
    </row>
    <row r="20" spans="2:10" x14ac:dyDescent="0.3">
      <c r="B20" s="265" t="s">
        <v>785</v>
      </c>
      <c r="C20" s="142">
        <v>3</v>
      </c>
      <c r="D20" s="142">
        <v>3</v>
      </c>
      <c r="E20" s="3"/>
      <c r="F20" s="3"/>
      <c r="G20" s="142">
        <v>3</v>
      </c>
      <c r="H20" s="142">
        <v>3</v>
      </c>
      <c r="I20" s="142">
        <v>6</v>
      </c>
      <c r="J20" s="174" t="str">
        <f t="shared" si="0"/>
        <v>Target Customer</v>
      </c>
    </row>
    <row r="21" spans="2:10" x14ac:dyDescent="0.3">
      <c r="B21" s="265" t="s">
        <v>790</v>
      </c>
      <c r="C21" s="3"/>
      <c r="D21" s="142">
        <v>1</v>
      </c>
      <c r="E21" s="3"/>
      <c r="F21" s="3"/>
      <c r="G21" s="142">
        <v>4</v>
      </c>
      <c r="H21" s="3"/>
      <c r="I21" s="142">
        <v>5</v>
      </c>
      <c r="J21" s="174" t="str">
        <f t="shared" si="0"/>
        <v/>
      </c>
    </row>
    <row r="22" spans="2:10" x14ac:dyDescent="0.3">
      <c r="B22" s="265" t="s">
        <v>791</v>
      </c>
      <c r="C22" s="142">
        <v>3</v>
      </c>
      <c r="D22" s="3"/>
      <c r="E22" s="142">
        <v>2</v>
      </c>
      <c r="F22" s="3"/>
      <c r="G22" s="3"/>
      <c r="H22" s="3"/>
      <c r="I22" s="142">
        <v>5</v>
      </c>
      <c r="J22" s="174" t="str">
        <f t="shared" si="0"/>
        <v/>
      </c>
    </row>
    <row r="23" spans="2:10" x14ac:dyDescent="0.3">
      <c r="B23" s="265" t="s">
        <v>795</v>
      </c>
      <c r="C23" s="3"/>
      <c r="D23" s="142">
        <v>4</v>
      </c>
      <c r="E23" s="3"/>
      <c r="F23" s="3"/>
      <c r="G23" s="142">
        <v>4</v>
      </c>
      <c r="H23" s="142">
        <v>4</v>
      </c>
      <c r="I23" s="142">
        <v>12</v>
      </c>
      <c r="J23" s="174" t="str">
        <f t="shared" si="0"/>
        <v/>
      </c>
    </row>
    <row r="24" spans="2:10" x14ac:dyDescent="0.3">
      <c r="B24" s="265" t="s">
        <v>796</v>
      </c>
      <c r="C24" s="142">
        <v>2</v>
      </c>
      <c r="D24" s="3"/>
      <c r="E24" s="142">
        <v>2</v>
      </c>
      <c r="F24" s="142">
        <v>2</v>
      </c>
      <c r="G24" s="3"/>
      <c r="H24" s="3"/>
      <c r="I24" s="142">
        <v>6</v>
      </c>
      <c r="J24" s="174" t="str">
        <f t="shared" si="0"/>
        <v/>
      </c>
    </row>
    <row r="25" spans="2:10" x14ac:dyDescent="0.3">
      <c r="B25" s="265" t="s">
        <v>797</v>
      </c>
      <c r="C25" s="3"/>
      <c r="D25" s="142">
        <v>1</v>
      </c>
      <c r="E25" s="3"/>
      <c r="F25" s="3"/>
      <c r="G25" s="142">
        <v>7</v>
      </c>
      <c r="H25" s="142">
        <v>5</v>
      </c>
      <c r="I25" s="142">
        <v>13</v>
      </c>
      <c r="J25" s="174" t="str">
        <f t="shared" si="0"/>
        <v/>
      </c>
    </row>
    <row r="26" spans="2:10" x14ac:dyDescent="0.3">
      <c r="B26" s="265" t="s">
        <v>798</v>
      </c>
      <c r="C26" s="142">
        <v>2</v>
      </c>
      <c r="D26" s="3"/>
      <c r="E26" s="142">
        <v>2</v>
      </c>
      <c r="F26" s="142">
        <v>4</v>
      </c>
      <c r="G26" s="3"/>
      <c r="H26" s="3"/>
      <c r="I26" s="142">
        <v>8</v>
      </c>
      <c r="J26" s="174" t="str">
        <f t="shared" si="0"/>
        <v/>
      </c>
    </row>
    <row r="27" spans="2:10" x14ac:dyDescent="0.3">
      <c r="B27" s="265" t="s">
        <v>802</v>
      </c>
      <c r="C27" s="142">
        <v>1</v>
      </c>
      <c r="D27" s="142">
        <v>4</v>
      </c>
      <c r="E27" s="3"/>
      <c r="F27" s="142">
        <v>2</v>
      </c>
      <c r="G27" s="142">
        <v>1</v>
      </c>
      <c r="H27" s="142">
        <v>2</v>
      </c>
      <c r="I27" s="142">
        <v>10</v>
      </c>
      <c r="J27" s="174" t="str">
        <f t="shared" si="0"/>
        <v/>
      </c>
    </row>
    <row r="28" spans="2:10" ht="16.2" thickBot="1" x14ac:dyDescent="0.35">
      <c r="B28" s="142" t="s">
        <v>1030</v>
      </c>
      <c r="C28" s="268">
        <v>27</v>
      </c>
      <c r="D28" s="268">
        <v>35</v>
      </c>
      <c r="E28" s="268">
        <v>22</v>
      </c>
      <c r="F28" s="268">
        <v>21</v>
      </c>
      <c r="G28" s="268">
        <v>38</v>
      </c>
      <c r="H28" s="268">
        <v>31</v>
      </c>
      <c r="I28" s="268">
        <v>174</v>
      </c>
    </row>
    <row r="29" spans="2:10" ht="16.2" thickTop="1" x14ac:dyDescent="0.3">
      <c r="B29" s="3"/>
      <c r="C29" s="3"/>
      <c r="D29" s="3"/>
      <c r="E29" s="3"/>
      <c r="F29" s="3"/>
      <c r="G29" s="3"/>
      <c r="H29" s="3"/>
      <c r="I29" s="3"/>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zoomScale="90" zoomScaleNormal="90" workbookViewId="0">
      <selection activeCell="J6" sqref="J6"/>
    </sheetView>
  </sheetViews>
  <sheetFormatPr defaultColWidth="9.109375" defaultRowHeight="15.6" x14ac:dyDescent="0.3"/>
  <cols>
    <col min="1" max="1" width="9.109375" style="142"/>
    <col min="2" max="2" width="22.6640625" style="142" bestFit="1" customWidth="1"/>
    <col min="3" max="9" width="13.6640625" style="142" customWidth="1"/>
    <col min="10" max="10" width="21.6640625" style="142" customWidth="1"/>
    <col min="11" max="16384" width="9.109375" style="142"/>
  </cols>
  <sheetData>
    <row r="1" spans="1:13" ht="30" x14ac:dyDescent="0.5">
      <c r="A1" s="113" t="s">
        <v>1853</v>
      </c>
      <c r="B1" s="114"/>
      <c r="C1" s="3"/>
      <c r="D1" s="3"/>
      <c r="F1" s="3"/>
      <c r="G1" s="3"/>
      <c r="M1" s="633" t="s">
        <v>3016</v>
      </c>
    </row>
    <row r="3" spans="1:13" ht="21" x14ac:dyDescent="0.4">
      <c r="A3" s="3"/>
      <c r="B3" s="3"/>
      <c r="C3" s="3"/>
      <c r="D3" s="3"/>
      <c r="E3" s="262" t="s">
        <v>1021</v>
      </c>
      <c r="F3" s="3"/>
      <c r="G3" s="3"/>
      <c r="H3" s="3"/>
      <c r="I3" s="3"/>
    </row>
    <row r="4" spans="1:13" ht="18" x14ac:dyDescent="0.35">
      <c r="A4" s="3"/>
      <c r="B4" s="3"/>
      <c r="C4" s="3"/>
      <c r="D4" s="3"/>
      <c r="E4" s="263" t="s">
        <v>1022</v>
      </c>
      <c r="F4" s="3"/>
      <c r="G4" s="3"/>
      <c r="H4" s="3"/>
      <c r="I4" s="3"/>
    </row>
    <row r="5" spans="1:13" ht="31.2" x14ac:dyDescent="0.3">
      <c r="A5" s="3"/>
      <c r="B5" s="264" t="s">
        <v>179</v>
      </c>
      <c r="C5" s="264" t="s">
        <v>1023</v>
      </c>
      <c r="D5" s="264" t="s">
        <v>1024</v>
      </c>
      <c r="E5" s="264" t="s">
        <v>1025</v>
      </c>
      <c r="F5" s="264" t="s">
        <v>1026</v>
      </c>
      <c r="G5" s="264" t="s">
        <v>1027</v>
      </c>
      <c r="H5" s="264" t="s">
        <v>1028</v>
      </c>
      <c r="I5" s="264" t="s">
        <v>1029</v>
      </c>
    </row>
    <row r="6" spans="1:13" x14ac:dyDescent="0.3">
      <c r="A6" s="3"/>
      <c r="B6" s="265" t="s">
        <v>746</v>
      </c>
      <c r="C6" s="142">
        <v>4</v>
      </c>
      <c r="D6" s="142">
        <v>1</v>
      </c>
      <c r="E6" s="142">
        <v>4</v>
      </c>
      <c r="F6" s="3"/>
      <c r="G6" s="142">
        <v>1</v>
      </c>
      <c r="H6" s="142">
        <v>3</v>
      </c>
      <c r="I6" s="142">
        <v>13</v>
      </c>
      <c r="J6" s="174" t="str">
        <f>IF(OR(C6&gt;2,G6&gt;2),"Target Customer","")</f>
        <v>Target Customer</v>
      </c>
    </row>
    <row r="7" spans="1:13" x14ac:dyDescent="0.3">
      <c r="A7" s="3"/>
      <c r="B7" s="265" t="s">
        <v>751</v>
      </c>
      <c r="C7" s="3"/>
      <c r="D7" s="142">
        <v>2</v>
      </c>
      <c r="E7" s="142">
        <v>1</v>
      </c>
      <c r="F7" s="142">
        <v>2</v>
      </c>
      <c r="G7" s="142">
        <v>3</v>
      </c>
      <c r="H7" s="3"/>
      <c r="I7" s="142">
        <v>8</v>
      </c>
      <c r="J7" s="174" t="str">
        <f t="shared" ref="J7:J27" si="0">IF(OR(C7&gt;2,G7&gt;2),"Target Customer","")</f>
        <v>Target Customer</v>
      </c>
    </row>
    <row r="8" spans="1:13" x14ac:dyDescent="0.3">
      <c r="A8" s="3"/>
      <c r="B8" s="265" t="s">
        <v>752</v>
      </c>
      <c r="C8" s="142">
        <v>1</v>
      </c>
      <c r="D8" s="3"/>
      <c r="E8" s="142">
        <v>1</v>
      </c>
      <c r="F8" s="142">
        <v>2</v>
      </c>
      <c r="G8" s="3"/>
      <c r="H8" s="3"/>
      <c r="I8" s="142">
        <v>4</v>
      </c>
      <c r="J8" s="174" t="str">
        <f t="shared" si="0"/>
        <v/>
      </c>
    </row>
    <row r="9" spans="1:13" x14ac:dyDescent="0.3">
      <c r="A9" s="3"/>
      <c r="B9" s="265" t="s">
        <v>756</v>
      </c>
      <c r="C9" s="3"/>
      <c r="D9" s="3"/>
      <c r="E9" s="142">
        <v>3</v>
      </c>
      <c r="F9" s="3"/>
      <c r="G9" s="142">
        <v>3</v>
      </c>
      <c r="H9" s="142">
        <v>4</v>
      </c>
      <c r="I9" s="142">
        <v>10</v>
      </c>
      <c r="J9" s="174" t="str">
        <f t="shared" si="0"/>
        <v>Target Customer</v>
      </c>
    </row>
    <row r="10" spans="1:13" x14ac:dyDescent="0.3">
      <c r="A10" s="3"/>
      <c r="B10" s="266" t="s">
        <v>757</v>
      </c>
      <c r="C10" s="142">
        <v>3</v>
      </c>
      <c r="D10" s="142">
        <v>3</v>
      </c>
      <c r="E10" s="3"/>
      <c r="F10" s="3"/>
      <c r="G10" s="267">
        <v>3</v>
      </c>
      <c r="H10" s="3"/>
      <c r="I10" s="142">
        <v>6</v>
      </c>
      <c r="J10" s="174" t="str">
        <f t="shared" si="0"/>
        <v>Target Customer</v>
      </c>
    </row>
    <row r="11" spans="1:13" x14ac:dyDescent="0.3">
      <c r="A11" s="3"/>
      <c r="B11" s="265" t="s">
        <v>760</v>
      </c>
      <c r="C11" s="142">
        <v>1</v>
      </c>
      <c r="D11" s="3"/>
      <c r="E11" s="142">
        <v>3</v>
      </c>
      <c r="F11" s="142">
        <v>2</v>
      </c>
      <c r="G11" s="142">
        <v>1</v>
      </c>
      <c r="H11" s="142">
        <v>1</v>
      </c>
      <c r="I11" s="142">
        <v>8</v>
      </c>
      <c r="J11" s="174" t="str">
        <f t="shared" si="0"/>
        <v/>
      </c>
    </row>
    <row r="12" spans="1:13" x14ac:dyDescent="0.3">
      <c r="A12" s="3"/>
      <c r="B12" s="265" t="s">
        <v>763</v>
      </c>
      <c r="C12" s="3"/>
      <c r="D12" s="3"/>
      <c r="E12" s="3"/>
      <c r="F12" s="3"/>
      <c r="G12" s="3"/>
      <c r="H12" s="3"/>
      <c r="I12" s="142">
        <v>0</v>
      </c>
      <c r="J12" s="174" t="str">
        <f t="shared" si="0"/>
        <v/>
      </c>
    </row>
    <row r="13" spans="1:13" x14ac:dyDescent="0.3">
      <c r="A13" s="3"/>
      <c r="B13" s="265" t="s">
        <v>768</v>
      </c>
      <c r="C13" s="142">
        <v>3</v>
      </c>
      <c r="D13" s="142">
        <v>3</v>
      </c>
      <c r="E13" s="3"/>
      <c r="F13" s="142">
        <v>3</v>
      </c>
      <c r="G13" s="3"/>
      <c r="H13" s="142">
        <v>4</v>
      </c>
      <c r="I13" s="142">
        <v>13</v>
      </c>
      <c r="J13" s="174" t="str">
        <f t="shared" si="0"/>
        <v>Target Customer</v>
      </c>
    </row>
    <row r="14" spans="1:13" x14ac:dyDescent="0.3">
      <c r="A14" s="3"/>
      <c r="B14" s="265" t="s">
        <v>772</v>
      </c>
      <c r="C14" s="142">
        <v>3</v>
      </c>
      <c r="D14" s="142">
        <v>1</v>
      </c>
      <c r="E14" s="3"/>
      <c r="F14" s="3"/>
      <c r="G14" s="142">
        <v>6</v>
      </c>
      <c r="H14" s="3"/>
      <c r="I14" s="142">
        <v>7</v>
      </c>
      <c r="J14" s="174" t="str">
        <f t="shared" si="0"/>
        <v>Target Customer</v>
      </c>
    </row>
    <row r="15" spans="1:13" x14ac:dyDescent="0.3">
      <c r="B15" s="265" t="s">
        <v>773</v>
      </c>
      <c r="C15" s="3"/>
      <c r="D15" s="142">
        <v>2</v>
      </c>
      <c r="E15" s="142">
        <v>1</v>
      </c>
      <c r="F15" s="3"/>
      <c r="G15" s="142">
        <v>2</v>
      </c>
      <c r="H15" s="142">
        <v>3</v>
      </c>
      <c r="I15" s="142">
        <v>8</v>
      </c>
      <c r="J15" s="174" t="str">
        <f t="shared" si="0"/>
        <v/>
      </c>
    </row>
    <row r="16" spans="1:13" x14ac:dyDescent="0.3">
      <c r="B16" s="265" t="s">
        <v>774</v>
      </c>
      <c r="C16" s="142">
        <v>4</v>
      </c>
      <c r="D16" s="142">
        <v>3</v>
      </c>
      <c r="E16" s="3"/>
      <c r="F16" s="142">
        <v>4</v>
      </c>
      <c r="G16" s="3"/>
      <c r="H16" s="3"/>
      <c r="I16" s="142">
        <v>11</v>
      </c>
      <c r="J16" s="174" t="str">
        <f t="shared" si="0"/>
        <v>Target Customer</v>
      </c>
    </row>
    <row r="17" spans="2:10" x14ac:dyDescent="0.3">
      <c r="B17" s="265" t="s">
        <v>778</v>
      </c>
      <c r="C17" s="3"/>
      <c r="D17" s="3"/>
      <c r="E17" s="142">
        <v>1</v>
      </c>
      <c r="F17" s="3"/>
      <c r="G17" s="3"/>
      <c r="H17" s="142">
        <v>2</v>
      </c>
      <c r="I17" s="142">
        <v>3</v>
      </c>
      <c r="J17" s="174" t="str">
        <f t="shared" si="0"/>
        <v/>
      </c>
    </row>
    <row r="18" spans="2:10" x14ac:dyDescent="0.3">
      <c r="B18" s="265" t="s">
        <v>783</v>
      </c>
      <c r="C18" s="142">
        <v>4</v>
      </c>
      <c r="D18" s="142">
        <v>3</v>
      </c>
      <c r="E18" s="3"/>
      <c r="F18" s="3"/>
      <c r="G18" s="142">
        <v>5</v>
      </c>
      <c r="H18" s="3"/>
      <c r="I18" s="142">
        <v>8</v>
      </c>
      <c r="J18" s="174" t="str">
        <f t="shared" si="0"/>
        <v>Target Customer</v>
      </c>
    </row>
    <row r="19" spans="2:10" x14ac:dyDescent="0.3">
      <c r="B19" s="265" t="s">
        <v>784</v>
      </c>
      <c r="C19" s="142">
        <v>3</v>
      </c>
      <c r="D19" s="142">
        <v>4</v>
      </c>
      <c r="E19" s="142">
        <v>2</v>
      </c>
      <c r="F19" s="3"/>
      <c r="G19" s="142">
        <v>1</v>
      </c>
      <c r="H19" s="3"/>
      <c r="I19" s="142">
        <v>10</v>
      </c>
      <c r="J19" s="174" t="str">
        <f t="shared" si="0"/>
        <v>Target Customer</v>
      </c>
    </row>
    <row r="20" spans="2:10" x14ac:dyDescent="0.3">
      <c r="B20" s="265" t="s">
        <v>785</v>
      </c>
      <c r="C20" s="142">
        <v>3</v>
      </c>
      <c r="D20" s="142">
        <v>3</v>
      </c>
      <c r="E20" s="3"/>
      <c r="F20" s="3"/>
      <c r="G20" s="142">
        <v>3</v>
      </c>
      <c r="H20" s="142">
        <v>3</v>
      </c>
      <c r="I20" s="142">
        <v>6</v>
      </c>
      <c r="J20" s="174" t="str">
        <f t="shared" si="0"/>
        <v>Target Customer</v>
      </c>
    </row>
    <row r="21" spans="2:10" x14ac:dyDescent="0.3">
      <c r="B21" s="265" t="s">
        <v>790</v>
      </c>
      <c r="C21" s="3"/>
      <c r="D21" s="142">
        <v>1</v>
      </c>
      <c r="E21" s="3"/>
      <c r="F21" s="3"/>
      <c r="G21" s="142">
        <v>4</v>
      </c>
      <c r="H21" s="3"/>
      <c r="I21" s="142">
        <v>5</v>
      </c>
      <c r="J21" s="174" t="str">
        <f t="shared" si="0"/>
        <v>Target Customer</v>
      </c>
    </row>
    <row r="22" spans="2:10" x14ac:dyDescent="0.3">
      <c r="B22" s="265" t="s">
        <v>791</v>
      </c>
      <c r="C22" s="142">
        <v>3</v>
      </c>
      <c r="D22" s="3"/>
      <c r="E22" s="142">
        <v>2</v>
      </c>
      <c r="F22" s="3"/>
      <c r="G22" s="3"/>
      <c r="H22" s="3"/>
      <c r="I22" s="142">
        <v>5</v>
      </c>
      <c r="J22" s="174" t="str">
        <f t="shared" si="0"/>
        <v>Target Customer</v>
      </c>
    </row>
    <row r="23" spans="2:10" x14ac:dyDescent="0.3">
      <c r="B23" s="265" t="s">
        <v>795</v>
      </c>
      <c r="C23" s="3"/>
      <c r="D23" s="142">
        <v>4</v>
      </c>
      <c r="E23" s="3"/>
      <c r="F23" s="3"/>
      <c r="G23" s="142">
        <v>4</v>
      </c>
      <c r="H23" s="142">
        <v>4</v>
      </c>
      <c r="I23" s="142">
        <v>12</v>
      </c>
      <c r="J23" s="174" t="str">
        <f t="shared" si="0"/>
        <v>Target Customer</v>
      </c>
    </row>
    <row r="24" spans="2:10" x14ac:dyDescent="0.3">
      <c r="B24" s="265" t="s">
        <v>796</v>
      </c>
      <c r="C24" s="142">
        <v>2</v>
      </c>
      <c r="D24" s="3"/>
      <c r="E24" s="142">
        <v>2</v>
      </c>
      <c r="F24" s="142">
        <v>2</v>
      </c>
      <c r="G24" s="3"/>
      <c r="H24" s="3"/>
      <c r="I24" s="142">
        <v>6</v>
      </c>
      <c r="J24" s="174" t="str">
        <f t="shared" si="0"/>
        <v/>
      </c>
    </row>
    <row r="25" spans="2:10" x14ac:dyDescent="0.3">
      <c r="B25" s="265" t="s">
        <v>797</v>
      </c>
      <c r="C25" s="3"/>
      <c r="D25" s="142">
        <v>1</v>
      </c>
      <c r="E25" s="3"/>
      <c r="F25" s="3"/>
      <c r="G25" s="142">
        <v>7</v>
      </c>
      <c r="H25" s="142">
        <v>5</v>
      </c>
      <c r="I25" s="142">
        <v>13</v>
      </c>
      <c r="J25" s="174" t="str">
        <f t="shared" si="0"/>
        <v>Target Customer</v>
      </c>
    </row>
    <row r="26" spans="2:10" x14ac:dyDescent="0.3">
      <c r="B26" s="265" t="s">
        <v>798</v>
      </c>
      <c r="C26" s="142">
        <v>2</v>
      </c>
      <c r="D26" s="3"/>
      <c r="E26" s="142">
        <v>2</v>
      </c>
      <c r="F26" s="142">
        <v>4</v>
      </c>
      <c r="G26" s="3"/>
      <c r="H26" s="3"/>
      <c r="I26" s="142">
        <v>8</v>
      </c>
      <c r="J26" s="174" t="str">
        <f t="shared" si="0"/>
        <v/>
      </c>
    </row>
    <row r="27" spans="2:10" x14ac:dyDescent="0.3">
      <c r="B27" s="265" t="s">
        <v>802</v>
      </c>
      <c r="C27" s="142">
        <v>1</v>
      </c>
      <c r="D27" s="142">
        <v>4</v>
      </c>
      <c r="E27" s="3"/>
      <c r="F27" s="142">
        <v>2</v>
      </c>
      <c r="G27" s="142">
        <v>1</v>
      </c>
      <c r="H27" s="142">
        <v>2</v>
      </c>
      <c r="I27" s="142">
        <v>10</v>
      </c>
      <c r="J27" s="174" t="str">
        <f t="shared" si="0"/>
        <v/>
      </c>
    </row>
    <row r="28" spans="2:10" ht="16.2" thickBot="1" x14ac:dyDescent="0.35">
      <c r="B28" s="142" t="s">
        <v>1030</v>
      </c>
      <c r="C28" s="268">
        <v>27</v>
      </c>
      <c r="D28" s="268">
        <v>35</v>
      </c>
      <c r="E28" s="268">
        <v>22</v>
      </c>
      <c r="F28" s="268">
        <v>21</v>
      </c>
      <c r="G28" s="268">
        <v>38</v>
      </c>
      <c r="H28" s="268">
        <v>31</v>
      </c>
      <c r="I28" s="268">
        <v>174</v>
      </c>
    </row>
    <row r="29" spans="2:10" ht="16.2" thickTop="1" x14ac:dyDescent="0.3">
      <c r="B29" s="3"/>
      <c r="C29" s="3"/>
      <c r="D29" s="3"/>
      <c r="E29" s="3"/>
      <c r="F29" s="3"/>
      <c r="G29" s="3"/>
      <c r="H29" s="3"/>
      <c r="I29" s="3"/>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GridLines="0" workbookViewId="0">
      <selection activeCell="E4" sqref="E4"/>
    </sheetView>
  </sheetViews>
  <sheetFormatPr defaultColWidth="9.109375" defaultRowHeight="15.6" x14ac:dyDescent="0.3"/>
  <cols>
    <col min="1" max="2" width="9.109375" style="142"/>
    <col min="3" max="3" width="12" style="142" customWidth="1"/>
    <col min="4" max="4" width="17.33203125" style="242" customWidth="1"/>
    <col min="5" max="5" width="17.33203125" style="142" customWidth="1"/>
    <col min="6" max="16384" width="9.109375" style="142"/>
  </cols>
  <sheetData>
    <row r="1" spans="1:11" ht="30" x14ac:dyDescent="0.5">
      <c r="A1" s="113" t="s">
        <v>1854</v>
      </c>
      <c r="B1" s="114"/>
      <c r="C1" s="3"/>
      <c r="D1" s="57"/>
      <c r="F1" s="3"/>
      <c r="K1" s="633" t="s">
        <v>3016</v>
      </c>
    </row>
    <row r="3" spans="1:11" ht="31.8" thickBot="1" x14ac:dyDescent="0.35">
      <c r="C3" s="253" t="s">
        <v>1016</v>
      </c>
      <c r="D3" s="254" t="s">
        <v>1855</v>
      </c>
      <c r="E3" s="254" t="s">
        <v>1856</v>
      </c>
    </row>
    <row r="4" spans="1:11" x14ac:dyDescent="0.3">
      <c r="C4" s="252">
        <v>36224</v>
      </c>
      <c r="D4" s="242">
        <f>WEEKDAY(C4)</f>
        <v>6</v>
      </c>
      <c r="E4" s="174" t="str">
        <f>CHOOSE(D4,"Monday","Tuesday","Wednesday","Thursday","Friday","Saturday","Sunday")</f>
        <v>Saturday</v>
      </c>
    </row>
    <row r="5" spans="1:11" x14ac:dyDescent="0.3">
      <c r="C5" s="252">
        <v>36312</v>
      </c>
      <c r="D5" s="242">
        <f t="shared" ref="D5:D24" si="0">WEEKDAY(C5)</f>
        <v>3</v>
      </c>
      <c r="E5" s="174" t="str">
        <f t="shared" ref="E5:E24" si="1">CHOOSE(D5,"Monday","Tuesday","Wednesday","Thursday","Friday","Saturday","Sunday")</f>
        <v>Wednesday</v>
      </c>
    </row>
    <row r="6" spans="1:11" x14ac:dyDescent="0.3">
      <c r="C6" s="252">
        <v>36400</v>
      </c>
      <c r="D6" s="242">
        <f t="shared" si="0"/>
        <v>7</v>
      </c>
      <c r="E6" s="174" t="str">
        <f t="shared" si="1"/>
        <v>Sunday</v>
      </c>
    </row>
    <row r="7" spans="1:11" x14ac:dyDescent="0.3">
      <c r="C7" s="252">
        <v>36488</v>
      </c>
      <c r="D7" s="242">
        <f t="shared" si="0"/>
        <v>4</v>
      </c>
      <c r="E7" s="174" t="str">
        <f t="shared" si="1"/>
        <v>Thursday</v>
      </c>
    </row>
    <row r="8" spans="1:11" x14ac:dyDescent="0.3">
      <c r="C8" s="252">
        <v>36576</v>
      </c>
      <c r="D8" s="242">
        <f t="shared" si="0"/>
        <v>1</v>
      </c>
      <c r="E8" s="174" t="str">
        <f t="shared" si="1"/>
        <v>Monday</v>
      </c>
    </row>
    <row r="9" spans="1:11" x14ac:dyDescent="0.3">
      <c r="C9" s="252">
        <v>36664</v>
      </c>
      <c r="D9" s="242">
        <f t="shared" si="0"/>
        <v>5</v>
      </c>
      <c r="E9" s="174" t="str">
        <f t="shared" si="1"/>
        <v>Friday</v>
      </c>
    </row>
    <row r="10" spans="1:11" x14ac:dyDescent="0.3">
      <c r="C10" s="252">
        <v>37774</v>
      </c>
      <c r="D10" s="242">
        <f t="shared" si="0"/>
        <v>2</v>
      </c>
      <c r="E10" s="174" t="str">
        <f t="shared" si="1"/>
        <v>Tuesday</v>
      </c>
    </row>
    <row r="11" spans="1:11" x14ac:dyDescent="0.3">
      <c r="C11" s="252">
        <v>37862</v>
      </c>
      <c r="D11" s="242">
        <f t="shared" si="0"/>
        <v>6</v>
      </c>
      <c r="E11" s="174" t="str">
        <f t="shared" si="1"/>
        <v>Saturday</v>
      </c>
    </row>
    <row r="12" spans="1:11" x14ac:dyDescent="0.3">
      <c r="C12" s="252">
        <v>37950</v>
      </c>
      <c r="D12" s="242">
        <f t="shared" si="0"/>
        <v>3</v>
      </c>
      <c r="E12" s="174" t="str">
        <f t="shared" si="1"/>
        <v>Wednesday</v>
      </c>
    </row>
    <row r="13" spans="1:11" x14ac:dyDescent="0.3">
      <c r="C13" s="252">
        <v>38038</v>
      </c>
      <c r="D13" s="242">
        <f t="shared" si="0"/>
        <v>7</v>
      </c>
      <c r="E13" s="174" t="str">
        <f t="shared" si="1"/>
        <v>Sunday</v>
      </c>
    </row>
    <row r="14" spans="1:11" x14ac:dyDescent="0.3">
      <c r="C14" s="252">
        <v>38126</v>
      </c>
      <c r="D14" s="242">
        <f t="shared" si="0"/>
        <v>4</v>
      </c>
      <c r="E14" s="174" t="str">
        <f t="shared" si="1"/>
        <v>Thursday</v>
      </c>
    </row>
    <row r="15" spans="1:11" x14ac:dyDescent="0.3">
      <c r="C15" s="252">
        <v>39324</v>
      </c>
      <c r="D15" s="242">
        <f t="shared" si="0"/>
        <v>5</v>
      </c>
      <c r="E15" s="174" t="str">
        <f t="shared" si="1"/>
        <v>Friday</v>
      </c>
    </row>
    <row r="16" spans="1:11" x14ac:dyDescent="0.3">
      <c r="C16" s="252">
        <v>39412</v>
      </c>
      <c r="D16" s="242">
        <f t="shared" si="0"/>
        <v>2</v>
      </c>
      <c r="E16" s="174" t="str">
        <f t="shared" si="1"/>
        <v>Tuesday</v>
      </c>
    </row>
    <row r="17" spans="3:5" x14ac:dyDescent="0.3">
      <c r="C17" s="252">
        <v>39500</v>
      </c>
      <c r="D17" s="242">
        <f t="shared" si="0"/>
        <v>6</v>
      </c>
      <c r="E17" s="174" t="str">
        <f t="shared" si="1"/>
        <v>Saturday</v>
      </c>
    </row>
    <row r="18" spans="3:5" x14ac:dyDescent="0.3">
      <c r="C18" s="252">
        <v>39588</v>
      </c>
      <c r="D18" s="242">
        <f t="shared" si="0"/>
        <v>3</v>
      </c>
      <c r="E18" s="174" t="str">
        <f t="shared" si="1"/>
        <v>Wednesday</v>
      </c>
    </row>
    <row r="19" spans="3:5" x14ac:dyDescent="0.3">
      <c r="C19" s="252">
        <v>39676</v>
      </c>
      <c r="D19" s="242">
        <f t="shared" si="0"/>
        <v>7</v>
      </c>
      <c r="E19" s="174" t="str">
        <f t="shared" si="1"/>
        <v>Sunday</v>
      </c>
    </row>
    <row r="20" spans="3:5" x14ac:dyDescent="0.3">
      <c r="C20" s="252">
        <v>40874</v>
      </c>
      <c r="D20" s="242">
        <f t="shared" si="0"/>
        <v>1</v>
      </c>
      <c r="E20" s="174" t="str">
        <f t="shared" si="1"/>
        <v>Monday</v>
      </c>
    </row>
    <row r="21" spans="3:5" x14ac:dyDescent="0.3">
      <c r="C21" s="252">
        <v>40962</v>
      </c>
      <c r="D21" s="242">
        <f t="shared" si="0"/>
        <v>5</v>
      </c>
      <c r="E21" s="174" t="str">
        <f t="shared" si="1"/>
        <v>Friday</v>
      </c>
    </row>
    <row r="22" spans="3:5" x14ac:dyDescent="0.3">
      <c r="C22" s="252">
        <v>41050</v>
      </c>
      <c r="D22" s="242">
        <f t="shared" si="0"/>
        <v>2</v>
      </c>
      <c r="E22" s="174" t="str">
        <f t="shared" si="1"/>
        <v>Tuesday</v>
      </c>
    </row>
    <row r="23" spans="3:5" x14ac:dyDescent="0.3">
      <c r="C23" s="252">
        <v>41138</v>
      </c>
      <c r="D23" s="242">
        <f t="shared" si="0"/>
        <v>6</v>
      </c>
      <c r="E23" s="174" t="str">
        <f t="shared" si="1"/>
        <v>Saturday</v>
      </c>
    </row>
    <row r="24" spans="3:5" x14ac:dyDescent="0.3">
      <c r="C24" s="252">
        <v>41226</v>
      </c>
      <c r="D24" s="242">
        <f t="shared" si="0"/>
        <v>3</v>
      </c>
      <c r="E24" s="174" t="str">
        <f t="shared" si="1"/>
        <v>Wednesday</v>
      </c>
    </row>
  </sheetData>
  <sortState ref="C7:C27">
    <sortCondition ref="C7"/>
  </sortState>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workbookViewId="0">
      <selection activeCell="H4" sqref="H4"/>
    </sheetView>
  </sheetViews>
  <sheetFormatPr defaultColWidth="9.109375" defaultRowHeight="15.6" x14ac:dyDescent="0.3"/>
  <cols>
    <col min="1" max="2" width="9.109375" style="142"/>
    <col min="3" max="3" width="15.5546875" style="142" customWidth="1"/>
    <col min="4" max="4" width="11.44140625" style="142" bestFit="1" customWidth="1"/>
    <col min="5" max="7" width="9.88671875" style="142" customWidth="1"/>
    <col min="8" max="8" width="13.6640625" style="242" customWidth="1"/>
    <col min="9" max="16384" width="9.109375" style="142"/>
  </cols>
  <sheetData>
    <row r="1" spans="1:13" ht="30" x14ac:dyDescent="0.5">
      <c r="A1" s="113" t="s">
        <v>1857</v>
      </c>
      <c r="B1" s="113"/>
      <c r="C1" s="114"/>
      <c r="D1" s="3"/>
      <c r="F1" s="3"/>
      <c r="G1" s="3"/>
      <c r="M1" s="633" t="s">
        <v>3016</v>
      </c>
    </row>
    <row r="3" spans="1:13" ht="31.8" thickBot="1" x14ac:dyDescent="0.35">
      <c r="C3" s="253" t="s">
        <v>1861</v>
      </c>
      <c r="D3" s="254" t="s">
        <v>1866</v>
      </c>
      <c r="E3" s="253" t="s">
        <v>1858</v>
      </c>
      <c r="F3" s="253" t="s">
        <v>1859</v>
      </c>
      <c r="G3" s="254" t="s">
        <v>1860</v>
      </c>
      <c r="H3" s="255" t="s">
        <v>1867</v>
      </c>
    </row>
    <row r="4" spans="1:13" x14ac:dyDescent="0.3">
      <c r="B4" s="142" t="s">
        <v>1878</v>
      </c>
      <c r="C4" s="142" t="s">
        <v>1794</v>
      </c>
      <c r="D4" s="256">
        <v>0.66666666666666663</v>
      </c>
      <c r="E4" s="142">
        <v>1</v>
      </c>
      <c r="F4" s="142">
        <v>34</v>
      </c>
      <c r="G4" s="142">
        <v>15</v>
      </c>
      <c r="H4" s="257">
        <f>TIME(E4,F4,G4)+D4</f>
        <v>0.73211805555555554</v>
      </c>
    </row>
    <row r="5" spans="1:13" x14ac:dyDescent="0.3">
      <c r="C5" s="142" t="s">
        <v>1862</v>
      </c>
      <c r="D5" s="256">
        <v>0.66666666666666663</v>
      </c>
      <c r="E5" s="142">
        <v>1</v>
      </c>
      <c r="F5" s="142">
        <v>29</v>
      </c>
      <c r="G5" s="142">
        <v>53</v>
      </c>
      <c r="H5" s="257">
        <f t="shared" ref="H5:H8" si="0">TIME(E5,F5,G5)+D5</f>
        <v>0.72908564814814814</v>
      </c>
    </row>
    <row r="6" spans="1:13" x14ac:dyDescent="0.3">
      <c r="C6" s="142" t="s">
        <v>1863</v>
      </c>
      <c r="D6" s="256">
        <v>0.66666666666666663</v>
      </c>
      <c r="E6" s="142">
        <v>1</v>
      </c>
      <c r="F6" s="142">
        <v>26</v>
      </c>
      <c r="G6" s="142">
        <v>49</v>
      </c>
      <c r="H6" s="257">
        <f t="shared" si="0"/>
        <v>0.72695601851851843</v>
      </c>
    </row>
    <row r="7" spans="1:13" x14ac:dyDescent="0.3">
      <c r="C7" s="142" t="s">
        <v>1864</v>
      </c>
      <c r="D7" s="256">
        <v>0.66666666666666663</v>
      </c>
      <c r="E7" s="142">
        <v>1</v>
      </c>
      <c r="F7" s="142">
        <v>43</v>
      </c>
      <c r="G7" s="142">
        <v>52</v>
      </c>
      <c r="H7" s="257">
        <f t="shared" si="0"/>
        <v>0.73879629629629628</v>
      </c>
    </row>
    <row r="8" spans="1:13" x14ac:dyDescent="0.3">
      <c r="C8" s="142" t="s">
        <v>1865</v>
      </c>
      <c r="D8" s="256">
        <v>0.66666666666666663</v>
      </c>
      <c r="E8" s="142">
        <v>1</v>
      </c>
      <c r="F8" s="142">
        <v>23</v>
      </c>
      <c r="G8" s="142">
        <v>15</v>
      </c>
      <c r="H8" s="257">
        <f t="shared" si="0"/>
        <v>0.72447916666666667</v>
      </c>
    </row>
    <row r="9" spans="1:13" x14ac:dyDescent="0.3">
      <c r="B9" s="142" t="s">
        <v>1879</v>
      </c>
      <c r="C9" s="258" t="s">
        <v>1868</v>
      </c>
      <c r="D9" s="259">
        <v>0.70833333333333304</v>
      </c>
      <c r="E9" s="258">
        <v>1</v>
      </c>
      <c r="F9" s="258">
        <v>17</v>
      </c>
      <c r="G9" s="258">
        <v>45</v>
      </c>
      <c r="H9" s="260">
        <f t="shared" ref="H9:H16" si="1">TIME(E9,F9,G9)+D9</f>
        <v>0.7623263888888886</v>
      </c>
    </row>
    <row r="10" spans="1:13" x14ac:dyDescent="0.3">
      <c r="C10" s="142" t="s">
        <v>1869</v>
      </c>
      <c r="D10" s="256">
        <v>0.70833333333333304</v>
      </c>
      <c r="E10" s="142">
        <v>1</v>
      </c>
      <c r="F10" s="142">
        <v>44</v>
      </c>
      <c r="G10" s="142">
        <v>37</v>
      </c>
      <c r="H10" s="257">
        <f t="shared" si="1"/>
        <v>0.780983796296296</v>
      </c>
    </row>
    <row r="11" spans="1:13" x14ac:dyDescent="0.3">
      <c r="C11" s="142" t="s">
        <v>1870</v>
      </c>
      <c r="D11" s="256">
        <v>0.70833333333333304</v>
      </c>
      <c r="E11" s="142">
        <v>1</v>
      </c>
      <c r="F11" s="142">
        <v>32</v>
      </c>
      <c r="G11" s="142">
        <v>52</v>
      </c>
      <c r="H11" s="257">
        <f t="shared" si="1"/>
        <v>0.77282407407407372</v>
      </c>
    </row>
    <row r="12" spans="1:13" x14ac:dyDescent="0.3">
      <c r="C12" s="142" t="s">
        <v>1871</v>
      </c>
      <c r="D12" s="256">
        <v>0.70833333333333304</v>
      </c>
      <c r="E12" s="142">
        <v>1</v>
      </c>
      <c r="F12" s="142">
        <v>56</v>
      </c>
      <c r="G12" s="142">
        <v>33</v>
      </c>
      <c r="H12" s="257">
        <f t="shared" si="1"/>
        <v>0.78927083333333303</v>
      </c>
    </row>
    <row r="13" spans="1:13" x14ac:dyDescent="0.3">
      <c r="C13" s="142" t="s">
        <v>1872</v>
      </c>
      <c r="D13" s="256">
        <v>0.70833333333333304</v>
      </c>
      <c r="E13" s="142">
        <v>1</v>
      </c>
      <c r="F13" s="142">
        <v>45</v>
      </c>
      <c r="G13" s="142">
        <v>18</v>
      </c>
      <c r="H13" s="257">
        <f t="shared" si="1"/>
        <v>0.78145833333333303</v>
      </c>
    </row>
    <row r="14" spans="1:13" x14ac:dyDescent="0.3">
      <c r="B14" s="142" t="s">
        <v>1880</v>
      </c>
      <c r="C14" s="258" t="s">
        <v>1873</v>
      </c>
      <c r="D14" s="259">
        <v>0.75</v>
      </c>
      <c r="E14" s="258">
        <v>1</v>
      </c>
      <c r="F14" s="258">
        <v>35</v>
      </c>
      <c r="G14" s="258">
        <v>5</v>
      </c>
      <c r="H14" s="260">
        <f t="shared" si="1"/>
        <v>0.81603009259259263</v>
      </c>
    </row>
    <row r="15" spans="1:13" x14ac:dyDescent="0.3">
      <c r="C15" s="142" t="s">
        <v>1874</v>
      </c>
      <c r="D15" s="256">
        <v>0.75</v>
      </c>
      <c r="E15" s="142">
        <v>1</v>
      </c>
      <c r="F15" s="142">
        <v>19</v>
      </c>
      <c r="G15" s="142">
        <v>23</v>
      </c>
      <c r="H15" s="257">
        <f t="shared" si="1"/>
        <v>0.80512731481481481</v>
      </c>
    </row>
    <row r="16" spans="1:13" x14ac:dyDescent="0.3">
      <c r="C16" s="142" t="s">
        <v>1875</v>
      </c>
      <c r="D16" s="256">
        <v>0.75</v>
      </c>
      <c r="E16" s="142">
        <v>1</v>
      </c>
      <c r="F16" s="142">
        <v>5</v>
      </c>
      <c r="G16" s="142">
        <v>4</v>
      </c>
      <c r="H16" s="257">
        <f t="shared" si="1"/>
        <v>0.79518518518518522</v>
      </c>
    </row>
    <row r="17" spans="3:8" x14ac:dyDescent="0.3">
      <c r="C17" s="142" t="s">
        <v>1876</v>
      </c>
      <c r="D17" s="256">
        <v>0.75</v>
      </c>
      <c r="E17" s="142">
        <v>1</v>
      </c>
      <c r="F17" s="142">
        <v>17</v>
      </c>
      <c r="G17" s="142">
        <v>54</v>
      </c>
      <c r="H17" s="257">
        <f t="shared" ref="H17:H18" si="2">TIME(E17,F17,G17)+D17</f>
        <v>0.80409722222222224</v>
      </c>
    </row>
    <row r="18" spans="3:8" x14ac:dyDescent="0.3">
      <c r="C18" s="142" t="s">
        <v>1877</v>
      </c>
      <c r="D18" s="256">
        <v>0.75</v>
      </c>
      <c r="E18" s="142">
        <v>1</v>
      </c>
      <c r="F18" s="142">
        <v>22</v>
      </c>
      <c r="G18" s="142">
        <v>29</v>
      </c>
      <c r="H18" s="257">
        <f t="shared" si="2"/>
        <v>0.80728009259259259</v>
      </c>
    </row>
    <row r="19" spans="3:8" x14ac:dyDescent="0.3">
      <c r="E19" s="261"/>
    </row>
    <row r="20" spans="3:8" x14ac:dyDescent="0.3">
      <c r="E20" s="261"/>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showGridLines="0" workbookViewId="0">
      <selection activeCell="D7" sqref="D7"/>
    </sheetView>
  </sheetViews>
  <sheetFormatPr defaultColWidth="9.109375" defaultRowHeight="15.6" x14ac:dyDescent="0.3"/>
  <cols>
    <col min="1" max="1" width="26.109375" style="142" customWidth="1"/>
    <col min="2" max="2" width="12.6640625" style="142" bestFit="1" customWidth="1"/>
    <col min="3" max="3" width="9.109375" style="142"/>
    <col min="4" max="4" width="13.88671875" style="222" customWidth="1"/>
    <col min="5" max="16384" width="9.109375" style="142"/>
  </cols>
  <sheetData>
    <row r="1" spans="1:12" ht="30" x14ac:dyDescent="0.5">
      <c r="A1" s="113" t="s">
        <v>1881</v>
      </c>
      <c r="B1" s="114"/>
      <c r="L1" s="634" t="s">
        <v>3016</v>
      </c>
    </row>
    <row r="3" spans="1:12" x14ac:dyDescent="0.3">
      <c r="A3" s="176" t="s">
        <v>1836</v>
      </c>
      <c r="B3" s="176"/>
      <c r="C3" s="176"/>
      <c r="D3" s="249">
        <v>1000</v>
      </c>
    </row>
    <row r="4" spans="1:12" x14ac:dyDescent="0.3">
      <c r="A4" s="179" t="s">
        <v>25</v>
      </c>
      <c r="D4" s="234">
        <v>6.5000000000000002E-2</v>
      </c>
    </row>
    <row r="5" spans="1:12" x14ac:dyDescent="0.3">
      <c r="A5" s="250" t="s">
        <v>1883</v>
      </c>
      <c r="D5" s="251">
        <v>60</v>
      </c>
    </row>
    <row r="6" spans="1:12" x14ac:dyDescent="0.3">
      <c r="A6" s="176"/>
      <c r="D6" s="176"/>
    </row>
    <row r="7" spans="1:12" x14ac:dyDescent="0.3">
      <c r="A7" s="179" t="s">
        <v>1882</v>
      </c>
      <c r="D7" s="251">
        <f>FV(D4/12,D5,D3)*-1</f>
        <v>70673.967545776686</v>
      </c>
    </row>
    <row r="9" spans="1:12" x14ac:dyDescent="0.3">
      <c r="B9" s="252"/>
    </row>
    <row r="10" spans="1:12" x14ac:dyDescent="0.3">
      <c r="B10" s="252"/>
    </row>
    <row r="11" spans="1:12" x14ac:dyDescent="0.3">
      <c r="B11" s="252"/>
    </row>
    <row r="12" spans="1:12" x14ac:dyDescent="0.3">
      <c r="B12" s="252"/>
    </row>
    <row r="13" spans="1:12" x14ac:dyDescent="0.3">
      <c r="B13" s="252"/>
    </row>
    <row r="14" spans="1:12" x14ac:dyDescent="0.3">
      <c r="B14" s="252"/>
    </row>
    <row r="15" spans="1:12" x14ac:dyDescent="0.3">
      <c r="B15" s="252"/>
    </row>
    <row r="16" spans="1:12" x14ac:dyDescent="0.3">
      <c r="B16" s="252"/>
    </row>
    <row r="17" spans="2:2" x14ac:dyDescent="0.3">
      <c r="B17" s="252"/>
    </row>
    <row r="18" spans="2:2" x14ac:dyDescent="0.3">
      <c r="B18" s="252"/>
    </row>
    <row r="19" spans="2:2" x14ac:dyDescent="0.3">
      <c r="B19" s="252"/>
    </row>
    <row r="20" spans="2:2" x14ac:dyDescent="0.3">
      <c r="B20" s="252"/>
    </row>
    <row r="21" spans="2:2" x14ac:dyDescent="0.3">
      <c r="B21" s="252"/>
    </row>
    <row r="22" spans="2:2" x14ac:dyDescent="0.3">
      <c r="B22" s="252"/>
    </row>
    <row r="23" spans="2:2" x14ac:dyDescent="0.3">
      <c r="B23" s="252"/>
    </row>
    <row r="24" spans="2:2" x14ac:dyDescent="0.3">
      <c r="B24" s="252"/>
    </row>
    <row r="25" spans="2:2" x14ac:dyDescent="0.3">
      <c r="B25" s="252"/>
    </row>
    <row r="26" spans="2:2" x14ac:dyDescent="0.3">
      <c r="B26" s="252"/>
    </row>
    <row r="27" spans="2:2" x14ac:dyDescent="0.3">
      <c r="B27" s="252"/>
    </row>
    <row r="28" spans="2:2" x14ac:dyDescent="0.3">
      <c r="B28" s="252"/>
    </row>
    <row r="29" spans="2:2" x14ac:dyDescent="0.3">
      <c r="B29" s="252"/>
    </row>
    <row r="30" spans="2:2" x14ac:dyDescent="0.3">
      <c r="B30" s="252"/>
    </row>
    <row r="31" spans="2:2" x14ac:dyDescent="0.3">
      <c r="B31" s="252"/>
    </row>
    <row r="32" spans="2:2" x14ac:dyDescent="0.3">
      <c r="B32" s="252"/>
    </row>
    <row r="33" spans="2:2" x14ac:dyDescent="0.3">
      <c r="B33" s="252"/>
    </row>
    <row r="34" spans="2:2" x14ac:dyDescent="0.3">
      <c r="B34" s="252"/>
    </row>
    <row r="35" spans="2:2" x14ac:dyDescent="0.3">
      <c r="B35" s="252"/>
    </row>
    <row r="36" spans="2:2" x14ac:dyDescent="0.3">
      <c r="B36" s="252"/>
    </row>
    <row r="37" spans="2:2" x14ac:dyDescent="0.3">
      <c r="B37" s="252"/>
    </row>
    <row r="38" spans="2:2" x14ac:dyDescent="0.3">
      <c r="B38" s="252"/>
    </row>
    <row r="39" spans="2:2" x14ac:dyDescent="0.3">
      <c r="B39" s="252"/>
    </row>
    <row r="40" spans="2:2" x14ac:dyDescent="0.3">
      <c r="B40" s="252"/>
    </row>
    <row r="41" spans="2:2" x14ac:dyDescent="0.3">
      <c r="B41" s="252"/>
    </row>
    <row r="42" spans="2:2" x14ac:dyDescent="0.3">
      <c r="B42" s="252"/>
    </row>
    <row r="43" spans="2:2" x14ac:dyDescent="0.3">
      <c r="B43" s="252"/>
    </row>
    <row r="44" spans="2:2" x14ac:dyDescent="0.3">
      <c r="B44" s="252"/>
    </row>
    <row r="45" spans="2:2" x14ac:dyDescent="0.3">
      <c r="B45" s="252"/>
    </row>
    <row r="46" spans="2:2" x14ac:dyDescent="0.3">
      <c r="B46" s="252"/>
    </row>
    <row r="47" spans="2:2" x14ac:dyDescent="0.3">
      <c r="B47" s="252"/>
    </row>
    <row r="48" spans="2:2" x14ac:dyDescent="0.3">
      <c r="B48" s="252"/>
    </row>
    <row r="49" spans="2:2" x14ac:dyDescent="0.3">
      <c r="B49" s="252"/>
    </row>
    <row r="50" spans="2:2" x14ac:dyDescent="0.3">
      <c r="B50" s="252"/>
    </row>
    <row r="51" spans="2:2" x14ac:dyDescent="0.3">
      <c r="B51" s="252"/>
    </row>
    <row r="52" spans="2:2" x14ac:dyDescent="0.3">
      <c r="B52" s="252"/>
    </row>
    <row r="53" spans="2:2" x14ac:dyDescent="0.3">
      <c r="B53" s="252"/>
    </row>
    <row r="54" spans="2:2" x14ac:dyDescent="0.3">
      <c r="B54" s="252"/>
    </row>
    <row r="55" spans="2:2" x14ac:dyDescent="0.3">
      <c r="B55" s="252"/>
    </row>
    <row r="56" spans="2:2" x14ac:dyDescent="0.3">
      <c r="B56" s="252"/>
    </row>
    <row r="57" spans="2:2" x14ac:dyDescent="0.3">
      <c r="B57" s="252"/>
    </row>
    <row r="58" spans="2:2" x14ac:dyDescent="0.3">
      <c r="B58" s="252"/>
    </row>
    <row r="59" spans="2:2" x14ac:dyDescent="0.3">
      <c r="B59" s="252"/>
    </row>
    <row r="60" spans="2:2" x14ac:dyDescent="0.3">
      <c r="B60" s="252"/>
    </row>
    <row r="61" spans="2:2" x14ac:dyDescent="0.3">
      <c r="B61" s="252"/>
    </row>
    <row r="62" spans="2:2" x14ac:dyDescent="0.3">
      <c r="B62" s="252"/>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showGridLines="0" workbookViewId="0">
      <selection activeCell="C17" sqref="C17"/>
    </sheetView>
  </sheetViews>
  <sheetFormatPr defaultColWidth="9.109375" defaultRowHeight="15.6" x14ac:dyDescent="0.3"/>
  <cols>
    <col min="1" max="1" width="33.44140625" style="142" customWidth="1"/>
    <col min="2" max="2" width="15.6640625" style="142" customWidth="1"/>
    <col min="3" max="3" width="12.6640625" style="142" customWidth="1"/>
    <col min="4" max="4" width="13.88671875" style="222" customWidth="1"/>
    <col min="5" max="16384" width="9.109375" style="142"/>
  </cols>
  <sheetData>
    <row r="1" spans="1:13" ht="30" x14ac:dyDescent="0.5">
      <c r="A1" s="113" t="s">
        <v>1884</v>
      </c>
      <c r="B1" s="114"/>
      <c r="M1" s="634" t="s">
        <v>3016</v>
      </c>
    </row>
    <row r="3" spans="1:13" ht="29.25" customHeight="1" thickBot="1" x14ac:dyDescent="0.35">
      <c r="B3" s="238" t="s">
        <v>1894</v>
      </c>
      <c r="C3" s="239" t="s">
        <v>1893</v>
      </c>
    </row>
    <row r="4" spans="1:13" ht="16.5" customHeight="1" x14ac:dyDescent="0.3">
      <c r="A4" s="240" t="s">
        <v>1885</v>
      </c>
      <c r="B4" s="241">
        <v>-70000</v>
      </c>
      <c r="C4" s="242" t="s">
        <v>1895</v>
      </c>
    </row>
    <row r="5" spans="1:13" ht="16.5" customHeight="1" x14ac:dyDescent="0.3">
      <c r="A5" s="243" t="s">
        <v>1886</v>
      </c>
      <c r="B5" s="244">
        <v>12000</v>
      </c>
      <c r="C5" s="245" t="s">
        <v>1895</v>
      </c>
    </row>
    <row r="6" spans="1:13" ht="16.5" customHeight="1" x14ac:dyDescent="0.3">
      <c r="A6" s="240" t="s">
        <v>1887</v>
      </c>
      <c r="B6" s="241">
        <v>15000</v>
      </c>
      <c r="C6" s="246">
        <f>IRR($B$4:B6,-0.1)</f>
        <v>-0.44350694133473989</v>
      </c>
    </row>
    <row r="7" spans="1:13" ht="16.5" customHeight="1" x14ac:dyDescent="0.3">
      <c r="A7" s="243" t="s">
        <v>1888</v>
      </c>
      <c r="B7" s="244">
        <v>18000</v>
      </c>
      <c r="C7" s="246">
        <f>IRR($B$4:B7,0.1)</f>
        <v>-0.18213746414550458</v>
      </c>
    </row>
    <row r="8" spans="1:13" ht="16.5" customHeight="1" x14ac:dyDescent="0.3">
      <c r="A8" s="240" t="s">
        <v>1889</v>
      </c>
      <c r="B8" s="241">
        <v>21000</v>
      </c>
      <c r="C8" s="246">
        <f>IRR($B$4:B8,0.1)</f>
        <v>-2.1244848273410888E-2</v>
      </c>
    </row>
    <row r="9" spans="1:13" ht="16.5" customHeight="1" x14ac:dyDescent="0.3">
      <c r="A9" s="243" t="s">
        <v>1890</v>
      </c>
      <c r="B9" s="244">
        <v>26000</v>
      </c>
      <c r="C9" s="246">
        <f>IRR($B$4:B9,0.1)</f>
        <v>8.663094803652216E-2</v>
      </c>
    </row>
    <row r="10" spans="1:13" ht="16.5" customHeight="1" x14ac:dyDescent="0.3">
      <c r="A10" s="247" t="s">
        <v>1892</v>
      </c>
      <c r="B10" s="244">
        <v>54000</v>
      </c>
      <c r="C10" s="246">
        <f>IRR($B$4:B10,0.1)</f>
        <v>0.19770646460321672</v>
      </c>
    </row>
    <row r="11" spans="1:13" ht="16.5" customHeight="1" x14ac:dyDescent="0.3">
      <c r="B11" s="244"/>
      <c r="C11" s="243"/>
    </row>
    <row r="12" spans="1:13" x14ac:dyDescent="0.3">
      <c r="A12" s="248" t="s">
        <v>1896</v>
      </c>
      <c r="D12" s="142"/>
    </row>
    <row r="13" spans="1:13" x14ac:dyDescent="0.3">
      <c r="A13" s="247" t="s">
        <v>1891</v>
      </c>
      <c r="D13" s="14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topLeftCell="A6" zoomScale="120" zoomScaleNormal="120" workbookViewId="0">
      <selection activeCell="D32" sqref="D32"/>
    </sheetView>
  </sheetViews>
  <sheetFormatPr defaultColWidth="9.109375" defaultRowHeight="14.4" x14ac:dyDescent="0.3"/>
  <cols>
    <col min="1" max="3" width="19.5546875" style="535" customWidth="1"/>
    <col min="4" max="4" width="20.6640625" style="535" customWidth="1"/>
    <col min="5" max="8" width="9.109375" style="535"/>
    <col min="9" max="9" width="9.5546875" style="535" customWidth="1"/>
    <col min="10" max="16384" width="9.109375" style="535"/>
  </cols>
  <sheetData>
    <row r="1" spans="1:5" ht="19.8" x14ac:dyDescent="0.4">
      <c r="A1" s="553"/>
      <c r="B1" s="534"/>
      <c r="C1" s="534"/>
      <c r="D1" s="534"/>
      <c r="E1" s="632" t="s">
        <v>3016</v>
      </c>
    </row>
    <row r="2" spans="1:5" x14ac:dyDescent="0.3">
      <c r="A2" s="717" t="s">
        <v>19</v>
      </c>
      <c r="B2" s="716"/>
      <c r="C2" s="716"/>
      <c r="D2" s="716"/>
    </row>
    <row r="3" spans="1:5" x14ac:dyDescent="0.3">
      <c r="A3" s="716"/>
      <c r="B3" s="716"/>
      <c r="C3" s="716"/>
      <c r="D3" s="716"/>
    </row>
    <row r="4" spans="1:5" x14ac:dyDescent="0.3">
      <c r="A4" s="716"/>
      <c r="B4" s="716"/>
      <c r="C4" s="716"/>
      <c r="D4" s="716"/>
    </row>
    <row r="5" spans="1:5" x14ac:dyDescent="0.3">
      <c r="A5" s="92"/>
      <c r="B5" s="92"/>
      <c r="C5" s="92"/>
      <c r="D5" s="92"/>
    </row>
    <row r="6" spans="1:5" x14ac:dyDescent="0.3">
      <c r="A6" s="536">
        <f ca="1">TODAY()</f>
        <v>41386</v>
      </c>
    </row>
    <row r="7" spans="1:5" ht="15" customHeight="1" x14ac:dyDescent="0.3">
      <c r="A7" s="537"/>
      <c r="B7" s="558" t="s">
        <v>624</v>
      </c>
      <c r="C7" s="559" t="s">
        <v>6</v>
      </c>
      <c r="D7" s="558" t="s">
        <v>625</v>
      </c>
    </row>
    <row r="8" spans="1:5" x14ac:dyDescent="0.3">
      <c r="A8" s="535" t="s">
        <v>4</v>
      </c>
      <c r="B8" s="538">
        <v>39508</v>
      </c>
      <c r="C8" s="539">
        <f ca="1">($A$6-B8)/365.26</f>
        <v>5.141543010458304</v>
      </c>
      <c r="D8" s="560">
        <f ca="1">IF(C8&gt;1,INT(C8)+4,0)</f>
        <v>9</v>
      </c>
    </row>
    <row r="9" spans="1:5" x14ac:dyDescent="0.3">
      <c r="A9" s="542" t="s">
        <v>3</v>
      </c>
      <c r="B9" s="543">
        <v>38657</v>
      </c>
      <c r="C9" s="544">
        <f ca="1">($A$6-B9)/365.26</f>
        <v>7.4713902425669385</v>
      </c>
      <c r="D9" s="561">
        <f ca="1">IF(C9&gt;1,INT(C9)+4,0)</f>
        <v>11</v>
      </c>
    </row>
    <row r="10" spans="1:5" x14ac:dyDescent="0.3">
      <c r="A10" s="535" t="s">
        <v>5</v>
      </c>
      <c r="B10" s="538">
        <v>37773</v>
      </c>
      <c r="C10" s="539">
        <f ca="1">($A$6-B10)/365.26</f>
        <v>9.8915840770957679</v>
      </c>
      <c r="D10" s="560">
        <f ca="1">IF(C10&gt;1,INT(C10)+4,0)</f>
        <v>13</v>
      </c>
    </row>
    <row r="11" spans="1:5" x14ac:dyDescent="0.3">
      <c r="A11" s="542" t="s">
        <v>2</v>
      </c>
      <c r="B11" s="543">
        <v>39845</v>
      </c>
      <c r="C11" s="544">
        <f ca="1">($A$6-B11)/365.26</f>
        <v>4.2189125554399602</v>
      </c>
      <c r="D11" s="561">
        <f ca="1">IF(C11&gt;1,INT(C11)+4,0)</f>
        <v>8</v>
      </c>
    </row>
  </sheetData>
  <mergeCells count="1">
    <mergeCell ref="A2:D4"/>
  </mergeCells>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election activeCell="B14" sqref="B14"/>
    </sheetView>
  </sheetViews>
  <sheetFormatPr defaultColWidth="9.109375" defaultRowHeight="15.6" x14ac:dyDescent="0.3"/>
  <cols>
    <col min="1" max="1" width="39.88671875" style="142" customWidth="1"/>
    <col min="2" max="2" width="15.6640625" style="142" customWidth="1"/>
    <col min="3" max="3" width="12.6640625" style="142" customWidth="1"/>
    <col min="4" max="4" width="62.44140625" style="222" customWidth="1"/>
    <col min="5" max="16384" width="9.109375" style="142"/>
  </cols>
  <sheetData>
    <row r="1" spans="1:9" ht="30" x14ac:dyDescent="0.5">
      <c r="A1" s="113" t="s">
        <v>1884</v>
      </c>
      <c r="B1" s="114"/>
      <c r="E1" s="634" t="s">
        <v>3016</v>
      </c>
    </row>
    <row r="5" spans="1:9" x14ac:dyDescent="0.3">
      <c r="A5" s="223" t="s">
        <v>1897</v>
      </c>
      <c r="B5" s="224">
        <v>40224</v>
      </c>
    </row>
    <row r="6" spans="1:9" x14ac:dyDescent="0.3">
      <c r="A6" s="225" t="s">
        <v>1898</v>
      </c>
      <c r="B6" s="226">
        <v>43419</v>
      </c>
    </row>
    <row r="7" spans="1:9" x14ac:dyDescent="0.3">
      <c r="A7" s="223" t="s">
        <v>1899</v>
      </c>
      <c r="B7" s="227">
        <v>2.75E-2</v>
      </c>
    </row>
    <row r="8" spans="1:9" x14ac:dyDescent="0.3">
      <c r="A8" s="225" t="s">
        <v>178</v>
      </c>
      <c r="B8" s="228">
        <v>92.25</v>
      </c>
    </row>
    <row r="9" spans="1:9" x14ac:dyDescent="0.3">
      <c r="A9" s="223" t="s">
        <v>1900</v>
      </c>
      <c r="B9" s="229">
        <v>100</v>
      </c>
    </row>
    <row r="10" spans="1:9" x14ac:dyDescent="0.3">
      <c r="A10" s="230" t="s">
        <v>1902</v>
      </c>
      <c r="B10" s="231">
        <v>2</v>
      </c>
    </row>
    <row r="11" spans="1:9" x14ac:dyDescent="0.3">
      <c r="A11" s="232" t="s">
        <v>1903</v>
      </c>
      <c r="B11" s="233">
        <v>0</v>
      </c>
    </row>
    <row r="14" spans="1:9" x14ac:dyDescent="0.3">
      <c r="B14" s="234">
        <f>YIELD(B5,B6,B7,B8,B9,B10,B11)</f>
        <v>3.7989351477634117E-2</v>
      </c>
    </row>
    <row r="15" spans="1:9" x14ac:dyDescent="0.3">
      <c r="D15" s="235" t="s">
        <v>1896</v>
      </c>
    </row>
    <row r="16" spans="1:9" ht="75.599999999999994" x14ac:dyDescent="0.3">
      <c r="A16" s="3"/>
      <c r="D16" s="236" t="s">
        <v>1901</v>
      </c>
      <c r="E16" s="237"/>
      <c r="F16" s="237"/>
      <c r="G16" s="237"/>
      <c r="H16" s="237"/>
      <c r="I16" s="237"/>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election activeCell="D5" sqref="D5"/>
    </sheetView>
  </sheetViews>
  <sheetFormatPr defaultColWidth="9.109375" defaultRowHeight="25.8" x14ac:dyDescent="0.5"/>
  <cols>
    <col min="1" max="1" width="3.44140625" style="210" customWidth="1"/>
    <col min="2" max="2" width="34.44140625" style="209" customWidth="1"/>
    <col min="3" max="3" width="4.109375" style="210" customWidth="1"/>
    <col min="4" max="4" width="102.88671875" style="211" customWidth="1"/>
    <col min="5" max="7" width="15.88671875" style="210" customWidth="1"/>
    <col min="8" max="8" width="11.5546875" style="210" customWidth="1"/>
    <col min="9" max="24" width="10.33203125" style="210" customWidth="1"/>
    <col min="25" max="27" width="10" style="210" customWidth="1"/>
    <col min="28" max="16384" width="9.109375" style="210"/>
  </cols>
  <sheetData>
    <row r="1" spans="1:7" ht="31.2" x14ac:dyDescent="0.6">
      <c r="A1" s="208" t="s">
        <v>1916</v>
      </c>
      <c r="G1" s="635" t="s">
        <v>3016</v>
      </c>
    </row>
    <row r="2" spans="1:7" ht="20.25" customHeight="1" x14ac:dyDescent="0.6">
      <c r="A2" s="208"/>
      <c r="G2" s="209"/>
    </row>
    <row r="3" spans="1:7" ht="20.25" customHeight="1" x14ac:dyDescent="0.6">
      <c r="A3" s="208"/>
      <c r="D3" s="220" t="s">
        <v>1904</v>
      </c>
      <c r="E3" s="212"/>
      <c r="G3" s="209"/>
    </row>
    <row r="4" spans="1:7" ht="20.25" customHeight="1" x14ac:dyDescent="0.35">
      <c r="B4" s="210"/>
    </row>
    <row r="5" spans="1:7" ht="20.25" customHeight="1" x14ac:dyDescent="0.35">
      <c r="B5" s="221" t="s">
        <v>1905</v>
      </c>
      <c r="D5" s="216" t="str">
        <f ca="1">CELL("address",D3)</f>
        <v>$D$3</v>
      </c>
    </row>
    <row r="6" spans="1:7" ht="20.25" customHeight="1" x14ac:dyDescent="0.35">
      <c r="B6" s="221" t="s">
        <v>1906</v>
      </c>
      <c r="D6" s="216">
        <f ca="1">CELL("col",$D$3)</f>
        <v>4</v>
      </c>
    </row>
    <row r="7" spans="1:7" ht="20.25" customHeight="1" x14ac:dyDescent="0.35">
      <c r="B7" s="221" t="s">
        <v>1907</v>
      </c>
      <c r="D7" s="216" t="str">
        <f ca="1">CELL("contents",$D$3)</f>
        <v>Hello</v>
      </c>
    </row>
    <row r="8" spans="1:7" ht="20.25" customHeight="1" x14ac:dyDescent="0.35">
      <c r="B8" s="221" t="s">
        <v>1908</v>
      </c>
      <c r="D8" s="216" t="str">
        <f ca="1">CELL("filename",$D$3)</f>
        <v>C:\Users\Rain\Documents\[5 - Carlton's Top 171 Functions for CPAs.xlsx]60 CELL</v>
      </c>
    </row>
    <row r="9" spans="1:7" ht="20.25" customHeight="1" x14ac:dyDescent="0.35">
      <c r="B9" s="221" t="s">
        <v>1909</v>
      </c>
      <c r="D9" s="216" t="str">
        <f ca="1">CELL("format",$D$3)</f>
        <v>D4</v>
      </c>
    </row>
    <row r="10" spans="1:7" ht="20.25" customHeight="1" x14ac:dyDescent="0.35">
      <c r="B10" s="221" t="s">
        <v>1910</v>
      </c>
      <c r="D10" s="216">
        <f ca="1">CELL("parentheses",$D$3)</f>
        <v>0</v>
      </c>
    </row>
    <row r="11" spans="1:7" ht="20.25" customHeight="1" x14ac:dyDescent="0.35">
      <c r="B11" s="221" t="s">
        <v>1911</v>
      </c>
      <c r="D11" s="216" t="str">
        <f ca="1">CELL("prefix",$D$3)</f>
        <v>'</v>
      </c>
    </row>
    <row r="12" spans="1:7" ht="20.25" customHeight="1" x14ac:dyDescent="0.35">
      <c r="B12" s="221" t="s">
        <v>1912</v>
      </c>
      <c r="D12" s="216">
        <f ca="1">CELL("protect",$D$3)</f>
        <v>0</v>
      </c>
    </row>
    <row r="13" spans="1:7" ht="20.25" customHeight="1" x14ac:dyDescent="0.35">
      <c r="B13" s="221" t="s">
        <v>1913</v>
      </c>
      <c r="D13" s="216">
        <f ca="1">CELL("row",$D$3)</f>
        <v>3</v>
      </c>
    </row>
    <row r="14" spans="1:7" ht="20.25" customHeight="1" x14ac:dyDescent="0.35">
      <c r="B14" s="221" t="s">
        <v>1914</v>
      </c>
      <c r="D14" s="216" t="str">
        <f ca="1">CELL("type",$D$3)</f>
        <v>l</v>
      </c>
    </row>
    <row r="15" spans="1:7" ht="20.25" customHeight="1" x14ac:dyDescent="0.35">
      <c r="B15" s="221" t="s">
        <v>1915</v>
      </c>
      <c r="D15" s="216">
        <f ca="1">CELL("width",$D$3)</f>
        <v>102</v>
      </c>
    </row>
    <row r="16" spans="1:7" ht="20.25" customHeight="1" x14ac:dyDescent="0.5"/>
    <row r="17" ht="21.75" customHeight="1" x14ac:dyDescent="0.5"/>
    <row r="18" ht="21.75" customHeight="1" x14ac:dyDescent="0.5"/>
    <row r="19" ht="21.75" customHeight="1" x14ac:dyDescent="0.5"/>
    <row r="20" ht="21.75" customHeight="1" x14ac:dyDescent="0.5"/>
  </sheetData>
  <conditionalFormatting sqref="C2:G36 B1:B4 B6:B36 C1:D1 F1:G1">
    <cfRule type="expression" dxfId="7" priority="2" stopIfTrue="1">
      <formula>"istext(b3:i34)"</formula>
    </cfRule>
  </conditionalFormatting>
  <conditionalFormatting sqref="B5">
    <cfRule type="expression" dxfId="6" priority="1" stopIfTrue="1">
      <formula>"istext(b3)"</formula>
    </cfRule>
  </conditionalFormatting>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election activeCell="C14" sqref="C14"/>
    </sheetView>
  </sheetViews>
  <sheetFormatPr defaultColWidth="9.109375" defaultRowHeight="25.8" x14ac:dyDescent="0.5"/>
  <cols>
    <col min="1" max="1" width="3.44140625" style="210" customWidth="1"/>
    <col min="2" max="2" width="14.109375" style="209" customWidth="1"/>
    <col min="3" max="3" width="75" style="210" customWidth="1"/>
    <col min="4" max="4" width="43.6640625" style="211" customWidth="1"/>
    <col min="5" max="7" width="15.88671875" style="210" customWidth="1"/>
    <col min="8" max="8" width="11.5546875" style="210" customWidth="1"/>
    <col min="9" max="24" width="10.33203125" style="210" customWidth="1"/>
    <col min="25" max="27" width="10" style="210" customWidth="1"/>
    <col min="28" max="16384" width="9.109375" style="210"/>
  </cols>
  <sheetData>
    <row r="1" spans="1:7" ht="31.2" x14ac:dyDescent="0.6">
      <c r="A1" s="208" t="s">
        <v>1939</v>
      </c>
      <c r="E1" s="635" t="s">
        <v>3016</v>
      </c>
      <c r="G1" s="209"/>
    </row>
    <row r="2" spans="1:7" ht="20.25" customHeight="1" x14ac:dyDescent="0.6">
      <c r="A2" s="208"/>
      <c r="D2" s="210"/>
      <c r="E2" s="212"/>
      <c r="G2" s="209"/>
    </row>
    <row r="3" spans="1:7" ht="20.25" customHeight="1" x14ac:dyDescent="0.35">
      <c r="B3" s="210"/>
    </row>
    <row r="4" spans="1:7" ht="20.25" customHeight="1" x14ac:dyDescent="0.35">
      <c r="A4" s="213"/>
      <c r="B4" s="214" t="s">
        <v>1925</v>
      </c>
      <c r="C4" s="215" t="s">
        <v>1926</v>
      </c>
      <c r="D4" s="216" t="str">
        <f ca="1">INFO("directory")</f>
        <v>C:\Users\Rain\Documents\</v>
      </c>
    </row>
    <row r="5" spans="1:7" ht="20.25" customHeight="1" x14ac:dyDescent="0.35">
      <c r="A5" s="213"/>
      <c r="B5" s="214" t="s">
        <v>1927</v>
      </c>
      <c r="C5" s="215" t="s">
        <v>1928</v>
      </c>
      <c r="D5" s="216">
        <f ca="1">INFO("numfile")</f>
        <v>120</v>
      </c>
    </row>
    <row r="6" spans="1:7" ht="69" x14ac:dyDescent="0.35">
      <c r="A6" s="213"/>
      <c r="B6" s="214" t="s">
        <v>1929</v>
      </c>
      <c r="C6" s="217" t="s">
        <v>1930</v>
      </c>
      <c r="D6" s="216" t="str">
        <f ca="1">INFO("origin")</f>
        <v>$A:$A$1</v>
      </c>
    </row>
    <row r="7" spans="1:7" ht="20.25" customHeight="1" x14ac:dyDescent="0.35">
      <c r="A7" s="213"/>
      <c r="B7" s="214" t="s">
        <v>1931</v>
      </c>
      <c r="C7" s="215" t="s">
        <v>1932</v>
      </c>
      <c r="D7" s="216" t="str">
        <f ca="1">INFO("osversion")</f>
        <v>Windows (32-bit) NT 6.02</v>
      </c>
    </row>
    <row r="8" spans="1:7" ht="20.25" customHeight="1" x14ac:dyDescent="0.35">
      <c r="A8" s="213"/>
      <c r="B8" s="214" t="s">
        <v>1933</v>
      </c>
      <c r="C8" s="215" t="s">
        <v>1934</v>
      </c>
      <c r="D8" s="216" t="str">
        <f ca="1">INFO("recalc")</f>
        <v>Automatic</v>
      </c>
    </row>
    <row r="9" spans="1:7" ht="20.25" customHeight="1" x14ac:dyDescent="0.35">
      <c r="A9" s="213"/>
      <c r="B9" s="214" t="s">
        <v>1935</v>
      </c>
      <c r="C9" s="215" t="s">
        <v>1936</v>
      </c>
      <c r="D9" s="216" t="str">
        <f ca="1">INFO("release")</f>
        <v>15.0</v>
      </c>
    </row>
    <row r="10" spans="1:7" ht="20.25" customHeight="1" x14ac:dyDescent="0.35">
      <c r="A10" s="213"/>
      <c r="B10" s="727" t="s">
        <v>1937</v>
      </c>
      <c r="C10" s="218" t="s">
        <v>1938</v>
      </c>
      <c r="D10" s="216" t="str">
        <f ca="1">INFO("system")</f>
        <v>pcdos</v>
      </c>
    </row>
    <row r="11" spans="1:7" ht="20.25" customHeight="1" x14ac:dyDescent="0.3">
      <c r="A11" s="213"/>
      <c r="B11" s="727"/>
      <c r="C11" s="215"/>
      <c r="D11" s="215"/>
    </row>
    <row r="12" spans="1:7" ht="20.25" customHeight="1" x14ac:dyDescent="0.3">
      <c r="A12" s="213"/>
      <c r="B12" s="727"/>
      <c r="C12" s="215"/>
      <c r="D12" s="219"/>
    </row>
    <row r="13" spans="1:7" ht="20.25" customHeight="1" x14ac:dyDescent="0.5"/>
    <row r="14" spans="1:7" ht="21.75" customHeight="1" x14ac:dyDescent="0.5"/>
    <row r="15" spans="1:7" ht="21.75" customHeight="1" x14ac:dyDescent="0.5"/>
    <row r="16" spans="1:7" ht="21.75" customHeight="1" x14ac:dyDescent="0.5"/>
    <row r="17" ht="21.75" customHeight="1" x14ac:dyDescent="0.5"/>
  </sheetData>
  <mergeCells count="1">
    <mergeCell ref="B10:B12"/>
  </mergeCells>
  <conditionalFormatting sqref="B13:D33 B1:C3 E1:G33 D1:D10">
    <cfRule type="expression" dxfId="5" priority="2" stopIfTrue="1">
      <formula>"istext(b3:i34)"</formula>
    </cfRule>
  </conditionalFormatting>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workbookViewId="0">
      <selection activeCell="E13" sqref="E13"/>
    </sheetView>
  </sheetViews>
  <sheetFormatPr defaultColWidth="9.109375" defaultRowHeight="15.6" x14ac:dyDescent="0.3"/>
  <cols>
    <col min="1" max="3" width="9.109375" style="142"/>
    <col min="4" max="4" width="27.88671875" style="142" customWidth="1"/>
    <col min="5" max="5" width="18.44140625" style="142" customWidth="1"/>
    <col min="6" max="6" width="13" style="142" customWidth="1"/>
    <col min="7" max="7" width="21" style="142" customWidth="1"/>
    <col min="8" max="16384" width="9.109375" style="142"/>
  </cols>
  <sheetData>
    <row r="1" spans="1:11" ht="23.4" x14ac:dyDescent="0.45">
      <c r="A1" s="33" t="s">
        <v>1917</v>
      </c>
      <c r="K1" s="634" t="s">
        <v>3016</v>
      </c>
    </row>
    <row r="2" spans="1:11" s="195" customFormat="1" ht="16.5" customHeight="1" x14ac:dyDescent="0.35"/>
    <row r="3" spans="1:11" s="195" customFormat="1" ht="16.5" customHeight="1" x14ac:dyDescent="0.35">
      <c r="E3" s="196" t="s">
        <v>266</v>
      </c>
      <c r="F3" s="197">
        <v>34000</v>
      </c>
    </row>
    <row r="4" spans="1:11" s="195" customFormat="1" ht="16.5" customHeight="1" x14ac:dyDescent="0.35">
      <c r="E4" s="196" t="s">
        <v>1918</v>
      </c>
      <c r="F4" s="197">
        <v>200</v>
      </c>
    </row>
    <row r="5" spans="1:11" s="195" customFormat="1" ht="16.5" customHeight="1" x14ac:dyDescent="0.35">
      <c r="E5" s="196" t="s">
        <v>1919</v>
      </c>
      <c r="F5" s="197">
        <v>5</v>
      </c>
      <c r="G5" s="198" t="s">
        <v>1837</v>
      </c>
    </row>
    <row r="6" spans="1:11" s="195" customFormat="1" ht="16.5" customHeight="1" x14ac:dyDescent="0.35">
      <c r="E6" s="196" t="s">
        <v>1921</v>
      </c>
      <c r="F6" s="197"/>
      <c r="G6" s="198"/>
    </row>
    <row r="7" spans="1:11" s="195" customFormat="1" ht="16.5" customHeight="1" x14ac:dyDescent="0.35"/>
    <row r="8" spans="1:11" s="195" customFormat="1" ht="16.5" customHeight="1" x14ac:dyDescent="0.35">
      <c r="G8" s="199" t="s">
        <v>1922</v>
      </c>
      <c r="H8" s="199" t="s">
        <v>1923</v>
      </c>
    </row>
    <row r="9" spans="1:11" s="195" customFormat="1" ht="16.5" customHeight="1" x14ac:dyDescent="0.35">
      <c r="B9" s="200" t="s">
        <v>1920</v>
      </c>
      <c r="E9" s="201" t="e">
        <f>SYD(F3,F4,F5,F6)</f>
        <v>#NUM!</v>
      </c>
      <c r="G9" s="202" t="e">
        <v>#NULL!</v>
      </c>
      <c r="H9" s="203">
        <v>1</v>
      </c>
    </row>
    <row r="10" spans="1:11" s="195" customFormat="1" ht="16.5" customHeight="1" x14ac:dyDescent="0.35">
      <c r="G10" s="204" t="e">
        <v>#DIV/0!</v>
      </c>
      <c r="H10" s="205">
        <v>2</v>
      </c>
    </row>
    <row r="11" spans="1:11" s="195" customFormat="1" ht="16.5" customHeight="1" x14ac:dyDescent="0.35">
      <c r="G11" s="202" t="e">
        <v>#VALUE!</v>
      </c>
      <c r="H11" s="203">
        <v>3</v>
      </c>
    </row>
    <row r="12" spans="1:11" s="195" customFormat="1" ht="16.5" customHeight="1" x14ac:dyDescent="0.35">
      <c r="G12" s="204" t="e">
        <v>#REF!</v>
      </c>
      <c r="H12" s="205">
        <v>4</v>
      </c>
    </row>
    <row r="13" spans="1:11" s="195" customFormat="1" ht="16.5" customHeight="1" x14ac:dyDescent="0.35">
      <c r="E13" s="206">
        <f>ERROR.TYPE(E9)</f>
        <v>6</v>
      </c>
      <c r="G13" s="202" t="e">
        <v>#NAME?</v>
      </c>
      <c r="H13" s="203">
        <v>5</v>
      </c>
    </row>
    <row r="14" spans="1:11" s="195" customFormat="1" ht="16.5" customHeight="1" x14ac:dyDescent="0.35">
      <c r="G14" s="204" t="e">
        <v>#NUM!</v>
      </c>
      <c r="H14" s="205">
        <v>6</v>
      </c>
    </row>
    <row r="15" spans="1:11" s="195" customFormat="1" ht="16.5" customHeight="1" x14ac:dyDescent="0.35">
      <c r="G15" s="202" t="e">
        <v>#N/A</v>
      </c>
      <c r="H15" s="203">
        <v>7</v>
      </c>
    </row>
    <row r="16" spans="1:11" s="195" customFormat="1" ht="16.5" customHeight="1" x14ac:dyDescent="0.35">
      <c r="G16" s="204" t="e">
        <v>#N/A</v>
      </c>
      <c r="H16" s="205">
        <v>8</v>
      </c>
    </row>
    <row r="17" spans="7:8" x14ac:dyDescent="0.3">
      <c r="G17" s="202" t="s">
        <v>1924</v>
      </c>
      <c r="H17" s="203" t="e">
        <v>#N/A</v>
      </c>
    </row>
    <row r="18" spans="7:8" x14ac:dyDescent="0.3">
      <c r="G18" s="207"/>
      <c r="H18" s="207"/>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showGridLines="0" workbookViewId="0">
      <selection activeCell="C5" sqref="C5"/>
    </sheetView>
  </sheetViews>
  <sheetFormatPr defaultColWidth="9.109375" defaultRowHeight="15.6" x14ac:dyDescent="0.3"/>
  <cols>
    <col min="1" max="2" width="9.109375" style="142"/>
    <col min="3" max="3" width="22.44140625" style="142" customWidth="1"/>
    <col min="4" max="16384" width="9.109375" style="142"/>
  </cols>
  <sheetData>
    <row r="1" spans="1:12" ht="25.8" x14ac:dyDescent="0.5">
      <c r="A1" s="144" t="s">
        <v>1940</v>
      </c>
      <c r="L1" s="634" t="s">
        <v>3016</v>
      </c>
    </row>
    <row r="2" spans="1:12" ht="23.25" customHeight="1" x14ac:dyDescent="0.3"/>
    <row r="3" spans="1:12" ht="23.25" customHeight="1" x14ac:dyDescent="0.3">
      <c r="C3" s="193"/>
    </row>
    <row r="4" spans="1:12" ht="23.25" customHeight="1" x14ac:dyDescent="0.3"/>
    <row r="5" spans="1:12" ht="23.25" customHeight="1" x14ac:dyDescent="0.3">
      <c r="C5" s="194" t="b">
        <f>ISBLANK(C3)</f>
        <v>1</v>
      </c>
    </row>
    <row r="6" spans="1:12" ht="23.25" customHeight="1" x14ac:dyDescent="0.3"/>
    <row r="7" spans="1:12" ht="23.25" customHeight="1" x14ac:dyDescent="0.3"/>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workbookViewId="0">
      <selection activeCell="C5" sqref="C5"/>
    </sheetView>
  </sheetViews>
  <sheetFormatPr defaultColWidth="9.109375" defaultRowHeight="15.6" x14ac:dyDescent="0.3"/>
  <cols>
    <col min="1" max="2" width="9.109375" style="142"/>
    <col min="3" max="3" width="22.44140625" style="142" customWidth="1"/>
    <col min="4" max="16384" width="9.109375" style="142"/>
  </cols>
  <sheetData>
    <row r="1" spans="1:12" ht="25.8" x14ac:dyDescent="0.5">
      <c r="A1" s="144" t="s">
        <v>1940</v>
      </c>
      <c r="L1" s="634" t="s">
        <v>3016</v>
      </c>
    </row>
    <row r="2" spans="1:12" ht="23.25" customHeight="1" x14ac:dyDescent="0.3"/>
    <row r="3" spans="1:12" ht="23.25" customHeight="1" x14ac:dyDescent="0.3">
      <c r="C3" s="193"/>
    </row>
    <row r="4" spans="1:12" ht="23.25" customHeight="1" x14ac:dyDescent="0.3"/>
    <row r="5" spans="1:12" ht="23.25" customHeight="1" x14ac:dyDescent="0.3">
      <c r="C5" s="194" t="b">
        <f>ISNA(C3)</f>
        <v>0</v>
      </c>
    </row>
    <row r="6" spans="1:12" ht="23.25" customHeight="1" x14ac:dyDescent="0.3"/>
    <row r="7" spans="1:12" ht="23.25" customHeight="1" x14ac:dyDescent="0.3">
      <c r="A7" s="176" t="s">
        <v>1896</v>
      </c>
    </row>
    <row r="8" spans="1:12" x14ac:dyDescent="0.3">
      <c r="A8" s="175" t="s">
        <v>3031</v>
      </c>
    </row>
    <row r="9" spans="1:12" x14ac:dyDescent="0.3">
      <c r="A9" s="142" t="str">
        <f>IF(C3="","Yes","No")</f>
        <v>Yes</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
  <sheetViews>
    <sheetView showGridLines="0" workbookViewId="0">
      <selection activeCell="M2" sqref="M2"/>
    </sheetView>
  </sheetViews>
  <sheetFormatPr defaultColWidth="9.109375" defaultRowHeight="15.6" x14ac:dyDescent="0.3"/>
  <cols>
    <col min="1" max="1" width="14.109375" style="142" customWidth="1"/>
    <col min="2" max="6" width="10.5546875" style="142" customWidth="1"/>
    <col min="7" max="12" width="9.109375" style="142"/>
    <col min="13" max="13" width="11.5546875" style="142" bestFit="1" customWidth="1"/>
    <col min="14" max="16384" width="9.109375" style="142"/>
  </cols>
  <sheetData>
    <row r="1" spans="1:16" ht="25.8" x14ac:dyDescent="0.5">
      <c r="A1" s="144" t="s">
        <v>1941</v>
      </c>
      <c r="P1" s="634" t="s">
        <v>3016</v>
      </c>
    </row>
    <row r="2" spans="1:16" x14ac:dyDescent="0.3">
      <c r="I2" s="142" t="s">
        <v>2025</v>
      </c>
      <c r="M2" s="180">
        <f>GETPIVOTDATA("Billings",$A$4,"Staff","Jesseca","Month","March")</f>
        <v>15950</v>
      </c>
    </row>
    <row r="3" spans="1:16" x14ac:dyDescent="0.3">
      <c r="I3" s="142" t="s">
        <v>2026</v>
      </c>
      <c r="M3" s="180">
        <f>GETPIVOTDATA("Billings",$A$4,"Staff","Martin","Month","April")</f>
        <v>20775</v>
      </c>
    </row>
    <row r="4" spans="1:16" x14ac:dyDescent="0.3">
      <c r="A4" s="181" t="s">
        <v>2021</v>
      </c>
      <c r="B4" s="181" t="s">
        <v>2023</v>
      </c>
      <c r="C4" s="3"/>
      <c r="D4" s="3"/>
      <c r="E4" s="3"/>
      <c r="F4" s="3"/>
    </row>
    <row r="5" spans="1:16" x14ac:dyDescent="0.3">
      <c r="A5" s="181" t="s">
        <v>2022</v>
      </c>
      <c r="B5" s="3" t="s">
        <v>1950</v>
      </c>
      <c r="C5" s="3" t="s">
        <v>1972</v>
      </c>
      <c r="D5" s="3" t="s">
        <v>1954</v>
      </c>
      <c r="E5" s="3" t="s">
        <v>1958</v>
      </c>
      <c r="F5" s="3" t="s">
        <v>701</v>
      </c>
    </row>
    <row r="6" spans="1:16" x14ac:dyDescent="0.3">
      <c r="A6" s="182" t="s">
        <v>1949</v>
      </c>
      <c r="B6" s="183">
        <v>2655</v>
      </c>
      <c r="C6" s="183"/>
      <c r="D6" s="183">
        <v>1305</v>
      </c>
      <c r="E6" s="183"/>
      <c r="F6" s="183">
        <v>3960</v>
      </c>
    </row>
    <row r="7" spans="1:16" x14ac:dyDescent="0.3">
      <c r="A7" s="182" t="s">
        <v>1797</v>
      </c>
      <c r="B7" s="183">
        <v>1725</v>
      </c>
      <c r="C7" s="183"/>
      <c r="D7" s="183">
        <v>2302.5</v>
      </c>
      <c r="E7" s="183"/>
      <c r="F7" s="183">
        <v>4027.5</v>
      </c>
    </row>
    <row r="8" spans="1:16" x14ac:dyDescent="0.3">
      <c r="A8" s="182" t="s">
        <v>1957</v>
      </c>
      <c r="B8" s="183"/>
      <c r="C8" s="183">
        <v>600</v>
      </c>
      <c r="D8" s="183"/>
      <c r="E8" s="183">
        <v>1280</v>
      </c>
      <c r="F8" s="183">
        <v>1880</v>
      </c>
    </row>
    <row r="9" spans="1:16" x14ac:dyDescent="0.3">
      <c r="A9" s="182" t="s">
        <v>1962</v>
      </c>
      <c r="B9" s="183">
        <v>2962.5</v>
      </c>
      <c r="C9" s="183"/>
      <c r="D9" s="183">
        <v>1087.5</v>
      </c>
      <c r="E9" s="183"/>
      <c r="F9" s="183">
        <v>4050</v>
      </c>
    </row>
    <row r="10" spans="1:16" x14ac:dyDescent="0.3">
      <c r="A10" s="182" t="s">
        <v>2024</v>
      </c>
      <c r="B10" s="183">
        <v>5910</v>
      </c>
      <c r="C10" s="183"/>
      <c r="D10" s="183">
        <v>15950</v>
      </c>
      <c r="E10" s="183"/>
      <c r="F10" s="183">
        <v>21860</v>
      </c>
    </row>
    <row r="11" spans="1:16" x14ac:dyDescent="0.3">
      <c r="A11" s="182" t="s">
        <v>1720</v>
      </c>
      <c r="B11" s="183">
        <v>2212.5</v>
      </c>
      <c r="C11" s="183"/>
      <c r="D11" s="183">
        <v>2425</v>
      </c>
      <c r="E11" s="183"/>
      <c r="F11" s="183">
        <v>4637.5</v>
      </c>
    </row>
    <row r="12" spans="1:16" x14ac:dyDescent="0.3">
      <c r="A12" s="182" t="s">
        <v>1971</v>
      </c>
      <c r="B12" s="183"/>
      <c r="C12" s="183">
        <v>1440</v>
      </c>
      <c r="D12" s="183"/>
      <c r="E12" s="183">
        <v>200</v>
      </c>
      <c r="F12" s="183">
        <v>1640</v>
      </c>
    </row>
    <row r="13" spans="1:16" x14ac:dyDescent="0.3">
      <c r="A13" s="182" t="s">
        <v>1874</v>
      </c>
      <c r="B13" s="183"/>
      <c r="C13" s="183">
        <v>3800</v>
      </c>
      <c r="D13" s="183"/>
      <c r="E13" s="183">
        <v>1970</v>
      </c>
      <c r="F13" s="183">
        <v>5770</v>
      </c>
    </row>
    <row r="14" spans="1:16" x14ac:dyDescent="0.3">
      <c r="A14" s="182" t="s">
        <v>1998</v>
      </c>
      <c r="B14" s="183"/>
      <c r="C14" s="183">
        <v>1900</v>
      </c>
      <c r="D14" s="183"/>
      <c r="E14" s="183">
        <v>1740</v>
      </c>
      <c r="F14" s="183">
        <v>3640</v>
      </c>
    </row>
    <row r="15" spans="1:16" x14ac:dyDescent="0.3">
      <c r="A15" s="182" t="s">
        <v>1829</v>
      </c>
      <c r="B15" s="183"/>
      <c r="C15" s="183">
        <v>1150</v>
      </c>
      <c r="D15" s="183"/>
      <c r="E15" s="183">
        <v>1890</v>
      </c>
      <c r="F15" s="183">
        <v>3040</v>
      </c>
    </row>
    <row r="16" spans="1:16" x14ac:dyDescent="0.3">
      <c r="A16" s="182" t="s">
        <v>1974</v>
      </c>
      <c r="B16" s="183"/>
      <c r="C16" s="183">
        <v>8550</v>
      </c>
      <c r="D16" s="183"/>
      <c r="E16" s="183">
        <v>20775</v>
      </c>
      <c r="F16" s="183">
        <v>29325</v>
      </c>
    </row>
    <row r="17" spans="1:6" x14ac:dyDescent="0.3">
      <c r="A17" s="182" t="s">
        <v>1983</v>
      </c>
      <c r="B17" s="183"/>
      <c r="C17" s="183">
        <v>2250</v>
      </c>
      <c r="D17" s="183"/>
      <c r="E17" s="183">
        <v>2190</v>
      </c>
      <c r="F17" s="183">
        <v>4440</v>
      </c>
    </row>
    <row r="18" spans="1:6" x14ac:dyDescent="0.3">
      <c r="A18" s="182" t="s">
        <v>1984</v>
      </c>
      <c r="B18" s="183"/>
      <c r="C18" s="183">
        <v>12180</v>
      </c>
      <c r="D18" s="183"/>
      <c r="E18" s="183">
        <v>5415</v>
      </c>
      <c r="F18" s="183">
        <v>17595</v>
      </c>
    </row>
    <row r="19" spans="1:6" x14ac:dyDescent="0.3">
      <c r="A19" s="182" t="s">
        <v>1566</v>
      </c>
      <c r="B19" s="183">
        <v>1350</v>
      </c>
      <c r="C19" s="183"/>
      <c r="D19" s="183">
        <v>1432.5</v>
      </c>
      <c r="E19" s="183"/>
      <c r="F19" s="183">
        <v>2782.5</v>
      </c>
    </row>
    <row r="20" spans="1:6" x14ac:dyDescent="0.3">
      <c r="A20" s="182" t="s">
        <v>943</v>
      </c>
      <c r="B20" s="183">
        <v>19150</v>
      </c>
      <c r="C20" s="183"/>
      <c r="D20" s="183">
        <v>10437.5</v>
      </c>
      <c r="E20" s="183">
        <v>300</v>
      </c>
      <c r="F20" s="183">
        <v>29887.5</v>
      </c>
    </row>
    <row r="21" spans="1:6" x14ac:dyDescent="0.3">
      <c r="A21" s="182" t="s">
        <v>1794</v>
      </c>
      <c r="B21" s="183"/>
      <c r="C21" s="183">
        <v>1000</v>
      </c>
      <c r="D21" s="183"/>
      <c r="E21" s="183">
        <v>2650</v>
      </c>
      <c r="F21" s="183">
        <v>3650</v>
      </c>
    </row>
    <row r="22" spans="1:6" x14ac:dyDescent="0.3">
      <c r="A22" s="182" t="s">
        <v>701</v>
      </c>
      <c r="B22" s="183">
        <v>35965</v>
      </c>
      <c r="C22" s="183">
        <v>32870</v>
      </c>
      <c r="D22" s="183">
        <v>34940</v>
      </c>
      <c r="E22" s="183">
        <v>38410</v>
      </c>
      <c r="F22" s="183">
        <v>142185</v>
      </c>
    </row>
    <row r="23" spans="1:6" x14ac:dyDescent="0.3">
      <c r="A23" s="3"/>
      <c r="B23" s="3"/>
    </row>
    <row r="24" spans="1:6" x14ac:dyDescent="0.3">
      <c r="A24" s="3"/>
      <c r="B24" s="3"/>
    </row>
    <row r="25" spans="1:6" x14ac:dyDescent="0.3">
      <c r="A25" s="3"/>
      <c r="B25" s="3"/>
    </row>
    <row r="26" spans="1:6" x14ac:dyDescent="0.3">
      <c r="A26" s="3"/>
      <c r="B26" s="3"/>
    </row>
    <row r="27" spans="1:6" x14ac:dyDescent="0.3">
      <c r="A27" s="3"/>
      <c r="B27" s="3"/>
    </row>
    <row r="28" spans="1:6" x14ac:dyDescent="0.3">
      <c r="A28" s="3"/>
      <c r="B28" s="3"/>
    </row>
    <row r="29" spans="1:6" x14ac:dyDescent="0.3">
      <c r="A29" s="3"/>
      <c r="B29" s="3"/>
    </row>
    <row r="30" spans="1:6" x14ac:dyDescent="0.3">
      <c r="A30" s="3"/>
      <c r="B30" s="3"/>
    </row>
    <row r="31" spans="1:6" x14ac:dyDescent="0.3">
      <c r="A31" s="3"/>
      <c r="B31" s="3"/>
    </row>
    <row r="32" spans="1:6" x14ac:dyDescent="0.3">
      <c r="A32" s="3"/>
      <c r="B32" s="3"/>
    </row>
    <row r="33" spans="1:2" x14ac:dyDescent="0.3">
      <c r="A33" s="3"/>
      <c r="B33" s="3"/>
    </row>
    <row r="34" spans="1:2" x14ac:dyDescent="0.3">
      <c r="A34" s="3"/>
      <c r="B34" s="3"/>
    </row>
    <row r="35" spans="1:2" x14ac:dyDescent="0.3">
      <c r="A35" s="3"/>
      <c r="B35" s="3"/>
    </row>
    <row r="36" spans="1:2" x14ac:dyDescent="0.3">
      <c r="A36" s="3"/>
      <c r="B36" s="3"/>
    </row>
    <row r="37" spans="1:2" x14ac:dyDescent="0.3">
      <c r="A37" s="3"/>
      <c r="B37" s="3"/>
    </row>
    <row r="38" spans="1:2" x14ac:dyDescent="0.3">
      <c r="A38" s="3"/>
      <c r="B38" s="3"/>
    </row>
    <row r="39" spans="1:2" x14ac:dyDescent="0.3">
      <c r="A39" s="3"/>
      <c r="B39" s="3"/>
    </row>
    <row r="40" spans="1:2" x14ac:dyDescent="0.3">
      <c r="A40" s="3"/>
      <c r="B40" s="3"/>
    </row>
    <row r="41" spans="1:2" x14ac:dyDescent="0.3">
      <c r="A41" s="3"/>
      <c r="B41" s="3"/>
    </row>
    <row r="42" spans="1:2" x14ac:dyDescent="0.3">
      <c r="A42" s="3"/>
      <c r="B42" s="3"/>
    </row>
    <row r="43" spans="1:2" x14ac:dyDescent="0.3">
      <c r="A43" s="3"/>
      <c r="B43" s="3"/>
    </row>
    <row r="44" spans="1:2" x14ac:dyDescent="0.3">
      <c r="A44" s="3"/>
      <c r="B44" s="3"/>
    </row>
    <row r="45" spans="1:2" x14ac:dyDescent="0.3">
      <c r="A45" s="3"/>
      <c r="B45" s="3"/>
    </row>
    <row r="46" spans="1:2" x14ac:dyDescent="0.3">
      <c r="A46" s="3"/>
      <c r="B46" s="3"/>
    </row>
    <row r="47" spans="1:2" x14ac:dyDescent="0.3">
      <c r="A47" s="3"/>
      <c r="B47" s="3"/>
    </row>
    <row r="48" spans="1:2" x14ac:dyDescent="0.3">
      <c r="A48" s="3"/>
      <c r="B48" s="3"/>
    </row>
    <row r="49" spans="1:10" x14ac:dyDescent="0.3">
      <c r="A49" s="3"/>
      <c r="B49" s="3"/>
    </row>
    <row r="50" spans="1:10" x14ac:dyDescent="0.3">
      <c r="A50" s="3"/>
      <c r="B50" s="3"/>
    </row>
    <row r="51" spans="1:10" x14ac:dyDescent="0.3">
      <c r="A51" s="3"/>
      <c r="B51" s="3"/>
    </row>
    <row r="52" spans="1:10" x14ac:dyDescent="0.3">
      <c r="A52" s="3"/>
      <c r="B52" s="3"/>
    </row>
    <row r="53" spans="1:10" x14ac:dyDescent="0.3">
      <c r="A53" s="3"/>
      <c r="B53" s="3"/>
    </row>
    <row r="54" spans="1:10" x14ac:dyDescent="0.3">
      <c r="A54" s="3"/>
      <c r="B54" s="3"/>
    </row>
    <row r="62" spans="1:10" ht="16.2" thickBot="1" x14ac:dyDescent="0.35">
      <c r="A62" s="184" t="s">
        <v>1942</v>
      </c>
      <c r="B62" s="184" t="s">
        <v>1943</v>
      </c>
      <c r="C62" s="184" t="s">
        <v>1944</v>
      </c>
      <c r="D62" s="184" t="s">
        <v>1945</v>
      </c>
      <c r="E62" s="184" t="s">
        <v>1946</v>
      </c>
      <c r="F62" s="184" t="s">
        <v>264</v>
      </c>
      <c r="G62" s="185" t="s">
        <v>1858</v>
      </c>
      <c r="H62" s="186" t="s">
        <v>1947</v>
      </c>
      <c r="I62" s="186" t="s">
        <v>571</v>
      </c>
      <c r="J62" s="187" t="s">
        <v>1948</v>
      </c>
    </row>
    <row r="63" spans="1:10" x14ac:dyDescent="0.3">
      <c r="A63" s="188" t="s">
        <v>1949</v>
      </c>
      <c r="B63" s="188" t="s">
        <v>1950</v>
      </c>
      <c r="C63" s="189">
        <v>1040</v>
      </c>
      <c r="D63" s="188" t="s">
        <v>1951</v>
      </c>
      <c r="E63" s="188" t="s">
        <v>1952</v>
      </c>
      <c r="F63" s="189" t="s">
        <v>1953</v>
      </c>
      <c r="G63" s="190">
        <v>19</v>
      </c>
      <c r="H63" s="191">
        <v>1425</v>
      </c>
      <c r="I63" s="191">
        <v>1311</v>
      </c>
      <c r="J63" s="191">
        <f t="shared" ref="J63:J126" si="0">H63-I63</f>
        <v>114</v>
      </c>
    </row>
    <row r="64" spans="1:10" x14ac:dyDescent="0.3">
      <c r="A64" s="188" t="s">
        <v>1797</v>
      </c>
      <c r="B64" s="188" t="s">
        <v>1954</v>
      </c>
      <c r="C64" s="189">
        <v>1065</v>
      </c>
      <c r="D64" s="188" t="s">
        <v>1951</v>
      </c>
      <c r="E64" s="188" t="s">
        <v>1955</v>
      </c>
      <c r="F64" s="192" t="s">
        <v>1956</v>
      </c>
      <c r="G64" s="190">
        <v>22</v>
      </c>
      <c r="H64" s="191">
        <v>1650</v>
      </c>
      <c r="I64" s="191">
        <v>1848</v>
      </c>
      <c r="J64" s="191">
        <f t="shared" si="0"/>
        <v>-198</v>
      </c>
    </row>
    <row r="65" spans="1:10" x14ac:dyDescent="0.3">
      <c r="A65" s="188" t="s">
        <v>1957</v>
      </c>
      <c r="B65" s="188" t="s">
        <v>1958</v>
      </c>
      <c r="C65" s="189" t="s">
        <v>1959</v>
      </c>
      <c r="D65" s="188" t="s">
        <v>1960</v>
      </c>
      <c r="E65" s="188" t="s">
        <v>1961</v>
      </c>
      <c r="F65" s="189" t="s">
        <v>1953</v>
      </c>
      <c r="G65" s="190">
        <v>10.199999999999999</v>
      </c>
      <c r="H65" s="191">
        <v>1020</v>
      </c>
      <c r="I65" s="191">
        <v>1377</v>
      </c>
      <c r="J65" s="191">
        <f t="shared" si="0"/>
        <v>-357</v>
      </c>
    </row>
    <row r="66" spans="1:10" x14ac:dyDescent="0.3">
      <c r="A66" s="188" t="s">
        <v>1962</v>
      </c>
      <c r="B66" s="188" t="s">
        <v>1954</v>
      </c>
      <c r="C66" s="189">
        <v>1065</v>
      </c>
      <c r="D66" s="188" t="s">
        <v>1951</v>
      </c>
      <c r="E66" s="188" t="s">
        <v>1952</v>
      </c>
      <c r="F66" s="189" t="s">
        <v>1953</v>
      </c>
      <c r="G66" s="190">
        <v>18.399999999999999</v>
      </c>
      <c r="H66" s="191">
        <v>630</v>
      </c>
      <c r="I66" s="191">
        <v>705.6</v>
      </c>
      <c r="J66" s="191">
        <f t="shared" si="0"/>
        <v>-75.600000000000023</v>
      </c>
    </row>
    <row r="67" spans="1:10" x14ac:dyDescent="0.3">
      <c r="A67" s="188" t="s">
        <v>1962</v>
      </c>
      <c r="B67" s="188" t="s">
        <v>1950</v>
      </c>
      <c r="C67" s="189">
        <v>1120</v>
      </c>
      <c r="D67" s="188" t="s">
        <v>1951</v>
      </c>
      <c r="E67" s="188" t="s">
        <v>1955</v>
      </c>
      <c r="F67" s="192" t="s">
        <v>1956</v>
      </c>
      <c r="G67" s="190">
        <v>32</v>
      </c>
      <c r="H67" s="191">
        <v>2400</v>
      </c>
      <c r="I67" s="191">
        <v>2208</v>
      </c>
      <c r="J67" s="191">
        <f t="shared" si="0"/>
        <v>192</v>
      </c>
    </row>
    <row r="68" spans="1:10" x14ac:dyDescent="0.3">
      <c r="A68" s="188" t="s">
        <v>1962</v>
      </c>
      <c r="B68" s="188" t="s">
        <v>1954</v>
      </c>
      <c r="C68" s="189">
        <v>1040</v>
      </c>
      <c r="D68" s="188" t="s">
        <v>1951</v>
      </c>
      <c r="E68" s="188" t="s">
        <v>1963</v>
      </c>
      <c r="F68" s="189" t="s">
        <v>1953</v>
      </c>
      <c r="G68" s="190">
        <v>2.6</v>
      </c>
      <c r="H68" s="191">
        <v>195</v>
      </c>
      <c r="I68" s="191">
        <v>218.4</v>
      </c>
      <c r="J68" s="191">
        <f t="shared" si="0"/>
        <v>-23.400000000000006</v>
      </c>
    </row>
    <row r="69" spans="1:10" x14ac:dyDescent="0.3">
      <c r="A69" s="188" t="s">
        <v>1964</v>
      </c>
      <c r="B69" s="188" t="s">
        <v>1954</v>
      </c>
      <c r="C69" s="189">
        <v>1040</v>
      </c>
      <c r="D69" s="188" t="s">
        <v>1951</v>
      </c>
      <c r="E69" s="188" t="s">
        <v>1961</v>
      </c>
      <c r="F69" s="189" t="s">
        <v>1953</v>
      </c>
      <c r="G69" s="190">
        <v>19</v>
      </c>
      <c r="H69" s="191">
        <v>1900</v>
      </c>
      <c r="I69" s="191">
        <v>2128</v>
      </c>
      <c r="J69" s="191">
        <f t="shared" si="0"/>
        <v>-228</v>
      </c>
    </row>
    <row r="70" spans="1:10" x14ac:dyDescent="0.3">
      <c r="A70" s="188" t="s">
        <v>1964</v>
      </c>
      <c r="B70" s="188" t="s">
        <v>1954</v>
      </c>
      <c r="C70" s="189">
        <v>1120</v>
      </c>
      <c r="D70" s="188" t="s">
        <v>1951</v>
      </c>
      <c r="E70" s="192" t="s">
        <v>1965</v>
      </c>
      <c r="F70" s="192" t="s">
        <v>1956</v>
      </c>
      <c r="G70" s="190">
        <v>17</v>
      </c>
      <c r="H70" s="191">
        <v>1700</v>
      </c>
      <c r="I70" s="191">
        <v>1904</v>
      </c>
      <c r="J70" s="191">
        <f t="shared" si="0"/>
        <v>-204</v>
      </c>
    </row>
    <row r="71" spans="1:10" x14ac:dyDescent="0.3">
      <c r="A71" s="188" t="s">
        <v>1720</v>
      </c>
      <c r="B71" s="188" t="s">
        <v>1954</v>
      </c>
      <c r="C71" s="189">
        <v>1040</v>
      </c>
      <c r="D71" s="188" t="s">
        <v>1951</v>
      </c>
      <c r="E71" s="188" t="s">
        <v>1966</v>
      </c>
      <c r="F71" s="189" t="s">
        <v>1953</v>
      </c>
      <c r="G71" s="190">
        <v>16</v>
      </c>
      <c r="H71" s="191">
        <v>1600</v>
      </c>
      <c r="I71" s="191">
        <v>1792</v>
      </c>
      <c r="J71" s="191">
        <f t="shared" si="0"/>
        <v>-192</v>
      </c>
    </row>
    <row r="72" spans="1:10" x14ac:dyDescent="0.3">
      <c r="A72" s="188" t="s">
        <v>1964</v>
      </c>
      <c r="B72" s="188" t="s">
        <v>1950</v>
      </c>
      <c r="C72" s="189">
        <v>1040</v>
      </c>
      <c r="D72" s="188" t="s">
        <v>1951</v>
      </c>
      <c r="E72" s="188" t="s">
        <v>1967</v>
      </c>
      <c r="F72" s="189" t="s">
        <v>1953</v>
      </c>
      <c r="G72" s="190">
        <v>3.5</v>
      </c>
      <c r="H72" s="191">
        <v>350</v>
      </c>
      <c r="I72" s="191">
        <v>322</v>
      </c>
      <c r="J72" s="191">
        <f t="shared" si="0"/>
        <v>28</v>
      </c>
    </row>
    <row r="73" spans="1:10" x14ac:dyDescent="0.3">
      <c r="A73" s="188" t="s">
        <v>1964</v>
      </c>
      <c r="B73" s="188" t="s">
        <v>1950</v>
      </c>
      <c r="C73" s="189">
        <v>1040</v>
      </c>
      <c r="D73" s="188" t="s">
        <v>1951</v>
      </c>
      <c r="E73" s="188" t="s">
        <v>1968</v>
      </c>
      <c r="F73" s="189" t="s">
        <v>1953</v>
      </c>
      <c r="G73" s="190">
        <v>3.7</v>
      </c>
      <c r="H73" s="191">
        <v>370</v>
      </c>
      <c r="I73" s="191">
        <v>340.4</v>
      </c>
      <c r="J73" s="191">
        <f t="shared" si="0"/>
        <v>29.600000000000023</v>
      </c>
    </row>
    <row r="74" spans="1:10" x14ac:dyDescent="0.3">
      <c r="A74" s="188" t="s">
        <v>1964</v>
      </c>
      <c r="B74" s="188" t="s">
        <v>1954</v>
      </c>
      <c r="C74" s="189">
        <v>1040</v>
      </c>
      <c r="D74" s="188" t="s">
        <v>1951</v>
      </c>
      <c r="E74" s="188" t="s">
        <v>1968</v>
      </c>
      <c r="F74" s="189" t="s">
        <v>1953</v>
      </c>
      <c r="G74" s="190">
        <v>8.4</v>
      </c>
      <c r="H74" s="191">
        <v>840</v>
      </c>
      <c r="I74" s="191">
        <v>940.8</v>
      </c>
      <c r="J74" s="191">
        <f t="shared" si="0"/>
        <v>-100.79999999999995</v>
      </c>
    </row>
    <row r="75" spans="1:10" x14ac:dyDescent="0.3">
      <c r="A75" s="188" t="s">
        <v>1964</v>
      </c>
      <c r="B75" s="188" t="s">
        <v>1954</v>
      </c>
      <c r="C75" s="189">
        <v>1040</v>
      </c>
      <c r="D75" s="188" t="s">
        <v>1951</v>
      </c>
      <c r="E75" s="188" t="s">
        <v>1969</v>
      </c>
      <c r="F75" s="189" t="s">
        <v>1953</v>
      </c>
      <c r="G75" s="190">
        <v>8</v>
      </c>
      <c r="H75" s="191">
        <v>800</v>
      </c>
      <c r="I75" s="191">
        <v>896</v>
      </c>
      <c r="J75" s="191">
        <f t="shared" si="0"/>
        <v>-96</v>
      </c>
    </row>
    <row r="76" spans="1:10" x14ac:dyDescent="0.3">
      <c r="A76" s="188" t="s">
        <v>1964</v>
      </c>
      <c r="B76" s="188" t="s">
        <v>1950</v>
      </c>
      <c r="C76" s="189">
        <v>1040</v>
      </c>
      <c r="D76" s="188" t="s">
        <v>1951</v>
      </c>
      <c r="E76" s="188" t="s">
        <v>1969</v>
      </c>
      <c r="F76" s="189" t="s">
        <v>1953</v>
      </c>
      <c r="G76" s="190">
        <v>6</v>
      </c>
      <c r="H76" s="191">
        <v>600</v>
      </c>
      <c r="I76" s="191">
        <v>552</v>
      </c>
      <c r="J76" s="191">
        <f t="shared" si="0"/>
        <v>48</v>
      </c>
    </row>
    <row r="77" spans="1:10" x14ac:dyDescent="0.3">
      <c r="A77" s="188" t="s">
        <v>1720</v>
      </c>
      <c r="B77" s="188" t="s">
        <v>1954</v>
      </c>
      <c r="C77" s="189">
        <v>1120</v>
      </c>
      <c r="D77" s="188" t="s">
        <v>1951</v>
      </c>
      <c r="E77" s="188" t="s">
        <v>1970</v>
      </c>
      <c r="F77" s="192" t="s">
        <v>1956</v>
      </c>
      <c r="G77" s="190">
        <v>2</v>
      </c>
      <c r="H77" s="191">
        <v>150</v>
      </c>
      <c r="I77" s="191">
        <v>168</v>
      </c>
      <c r="J77" s="191">
        <f t="shared" si="0"/>
        <v>-18</v>
      </c>
    </row>
    <row r="78" spans="1:10" x14ac:dyDescent="0.3">
      <c r="A78" s="188" t="s">
        <v>1971</v>
      </c>
      <c r="B78" s="188" t="s">
        <v>1958</v>
      </c>
      <c r="C78" s="189">
        <v>1040</v>
      </c>
      <c r="D78" s="188" t="s">
        <v>1951</v>
      </c>
      <c r="E78" s="188" t="s">
        <v>1968</v>
      </c>
      <c r="F78" s="189" t="s">
        <v>1953</v>
      </c>
      <c r="G78" s="190">
        <v>2</v>
      </c>
      <c r="H78" s="191">
        <v>200</v>
      </c>
      <c r="I78" s="191">
        <v>270</v>
      </c>
      <c r="J78" s="191">
        <f t="shared" si="0"/>
        <v>-70</v>
      </c>
    </row>
    <row r="79" spans="1:10" x14ac:dyDescent="0.3">
      <c r="A79" s="188" t="s">
        <v>1874</v>
      </c>
      <c r="B79" s="188" t="s">
        <v>1972</v>
      </c>
      <c r="C79" s="189">
        <v>1040</v>
      </c>
      <c r="D79" s="188" t="s">
        <v>1951</v>
      </c>
      <c r="E79" s="188" t="s">
        <v>1966</v>
      </c>
      <c r="F79" s="189" t="s">
        <v>1953</v>
      </c>
      <c r="G79" s="190">
        <v>32</v>
      </c>
      <c r="H79" s="191">
        <v>3200</v>
      </c>
      <c r="I79" s="191">
        <v>3168</v>
      </c>
      <c r="J79" s="191">
        <f t="shared" si="0"/>
        <v>32</v>
      </c>
    </row>
    <row r="80" spans="1:10" x14ac:dyDescent="0.3">
      <c r="A80" s="188" t="s">
        <v>1829</v>
      </c>
      <c r="B80" s="188" t="s">
        <v>1972</v>
      </c>
      <c r="C80" s="189">
        <v>1120</v>
      </c>
      <c r="D80" s="188" t="s">
        <v>1951</v>
      </c>
      <c r="E80" s="192" t="s">
        <v>1965</v>
      </c>
      <c r="F80" s="192" t="s">
        <v>1956</v>
      </c>
      <c r="G80" s="190">
        <v>8</v>
      </c>
      <c r="H80" s="191">
        <v>800</v>
      </c>
      <c r="I80" s="191">
        <v>792</v>
      </c>
      <c r="J80" s="191">
        <f t="shared" si="0"/>
        <v>8</v>
      </c>
    </row>
    <row r="81" spans="1:10" x14ac:dyDescent="0.3">
      <c r="A81" s="188" t="s">
        <v>1829</v>
      </c>
      <c r="B81" s="188" t="s">
        <v>1958</v>
      </c>
      <c r="C81" s="189" t="s">
        <v>1973</v>
      </c>
      <c r="D81" s="188" t="s">
        <v>1951</v>
      </c>
      <c r="E81" s="188" t="s">
        <v>1967</v>
      </c>
      <c r="F81" s="189" t="s">
        <v>1953</v>
      </c>
      <c r="G81" s="190">
        <v>6</v>
      </c>
      <c r="H81" s="191">
        <v>600</v>
      </c>
      <c r="I81" s="191">
        <v>810</v>
      </c>
      <c r="J81" s="191">
        <f t="shared" si="0"/>
        <v>-210</v>
      </c>
    </row>
    <row r="82" spans="1:10" x14ac:dyDescent="0.3">
      <c r="A82" s="188" t="s">
        <v>1974</v>
      </c>
      <c r="B82" s="188" t="s">
        <v>1958</v>
      </c>
      <c r="C82" s="189" t="s">
        <v>1973</v>
      </c>
      <c r="D82" s="188" t="s">
        <v>1951</v>
      </c>
      <c r="E82" s="188" t="s">
        <v>1975</v>
      </c>
      <c r="F82" s="189" t="s">
        <v>1953</v>
      </c>
      <c r="G82" s="190">
        <v>6</v>
      </c>
      <c r="H82" s="191">
        <v>750</v>
      </c>
      <c r="I82" s="191">
        <v>1012.5</v>
      </c>
      <c r="J82" s="191">
        <f t="shared" si="0"/>
        <v>-262.5</v>
      </c>
    </row>
    <row r="83" spans="1:10" x14ac:dyDescent="0.3">
      <c r="A83" s="188" t="s">
        <v>1974</v>
      </c>
      <c r="B83" s="188" t="s">
        <v>1972</v>
      </c>
      <c r="C83" s="189">
        <v>1040</v>
      </c>
      <c r="D83" s="188" t="s">
        <v>1951</v>
      </c>
      <c r="E83" s="188" t="s">
        <v>1975</v>
      </c>
      <c r="F83" s="189" t="s">
        <v>1953</v>
      </c>
      <c r="G83" s="190">
        <v>3.5</v>
      </c>
      <c r="H83" s="191">
        <v>437.5</v>
      </c>
      <c r="I83" s="191">
        <v>433.125</v>
      </c>
      <c r="J83" s="191">
        <f t="shared" si="0"/>
        <v>4.375</v>
      </c>
    </row>
    <row r="84" spans="1:10" x14ac:dyDescent="0.3">
      <c r="A84" s="188" t="s">
        <v>1974</v>
      </c>
      <c r="B84" s="188" t="s">
        <v>1972</v>
      </c>
      <c r="C84" s="189">
        <v>1040</v>
      </c>
      <c r="D84" s="188" t="s">
        <v>1951</v>
      </c>
      <c r="E84" s="188" t="s">
        <v>1976</v>
      </c>
      <c r="F84" s="189" t="s">
        <v>1953</v>
      </c>
      <c r="G84" s="190">
        <v>2</v>
      </c>
      <c r="H84" s="191">
        <v>250</v>
      </c>
      <c r="I84" s="191">
        <v>247.5</v>
      </c>
      <c r="J84" s="191">
        <f t="shared" si="0"/>
        <v>2.5</v>
      </c>
    </row>
    <row r="85" spans="1:10" x14ac:dyDescent="0.3">
      <c r="A85" s="188" t="s">
        <v>1974</v>
      </c>
      <c r="B85" s="188" t="s">
        <v>1958</v>
      </c>
      <c r="C85" s="189">
        <v>1040</v>
      </c>
      <c r="D85" s="188" t="s">
        <v>1951</v>
      </c>
      <c r="E85" s="188" t="s">
        <v>1976</v>
      </c>
      <c r="F85" s="189" t="s">
        <v>1953</v>
      </c>
      <c r="G85" s="190">
        <v>10.199999999999999</v>
      </c>
      <c r="H85" s="191">
        <v>1275</v>
      </c>
      <c r="I85" s="191">
        <v>1721.25</v>
      </c>
      <c r="J85" s="191">
        <f t="shared" si="0"/>
        <v>-446.25</v>
      </c>
    </row>
    <row r="86" spans="1:10" x14ac:dyDescent="0.3">
      <c r="A86" s="188" t="s">
        <v>1974</v>
      </c>
      <c r="B86" s="188" t="s">
        <v>1958</v>
      </c>
      <c r="C86" s="189">
        <v>1120</v>
      </c>
      <c r="D86" s="188" t="s">
        <v>1951</v>
      </c>
      <c r="E86" s="188" t="s">
        <v>1977</v>
      </c>
      <c r="F86" s="192" t="s">
        <v>1956</v>
      </c>
      <c r="G86" s="190">
        <v>12</v>
      </c>
      <c r="H86" s="191">
        <v>1500</v>
      </c>
      <c r="I86" s="191">
        <v>2025</v>
      </c>
      <c r="J86" s="191">
        <f t="shared" si="0"/>
        <v>-525</v>
      </c>
    </row>
    <row r="87" spans="1:10" x14ac:dyDescent="0.3">
      <c r="A87" s="188" t="s">
        <v>1974</v>
      </c>
      <c r="B87" s="188" t="s">
        <v>1972</v>
      </c>
      <c r="C87" s="189">
        <v>1040</v>
      </c>
      <c r="D87" s="188" t="s">
        <v>1951</v>
      </c>
      <c r="E87" s="188" t="s">
        <v>1978</v>
      </c>
      <c r="F87" s="189" t="s">
        <v>1953</v>
      </c>
      <c r="G87" s="190">
        <v>4.5</v>
      </c>
      <c r="H87" s="191">
        <v>562.5</v>
      </c>
      <c r="I87" s="191">
        <v>556.875</v>
      </c>
      <c r="J87" s="191">
        <f t="shared" si="0"/>
        <v>5.625</v>
      </c>
    </row>
    <row r="88" spans="1:10" x14ac:dyDescent="0.3">
      <c r="A88" s="188" t="s">
        <v>1974</v>
      </c>
      <c r="B88" s="188" t="s">
        <v>1958</v>
      </c>
      <c r="C88" s="189">
        <v>1065</v>
      </c>
      <c r="D88" s="188" t="s">
        <v>1951</v>
      </c>
      <c r="E88" s="192" t="s">
        <v>1979</v>
      </c>
      <c r="F88" s="192" t="s">
        <v>1956</v>
      </c>
      <c r="G88" s="190">
        <v>8</v>
      </c>
      <c r="H88" s="191">
        <v>1000</v>
      </c>
      <c r="I88" s="191">
        <v>1350</v>
      </c>
      <c r="J88" s="191">
        <f t="shared" si="0"/>
        <v>-350</v>
      </c>
    </row>
    <row r="89" spans="1:10" x14ac:dyDescent="0.3">
      <c r="A89" s="188" t="s">
        <v>1974</v>
      </c>
      <c r="B89" s="188" t="s">
        <v>1958</v>
      </c>
      <c r="C89" s="189">
        <v>1040</v>
      </c>
      <c r="D89" s="188" t="s">
        <v>1951</v>
      </c>
      <c r="E89" s="188" t="s">
        <v>1980</v>
      </c>
      <c r="F89" s="189" t="s">
        <v>1953</v>
      </c>
      <c r="G89" s="190">
        <v>4</v>
      </c>
      <c r="H89" s="191">
        <v>500</v>
      </c>
      <c r="I89" s="191">
        <v>675</v>
      </c>
      <c r="J89" s="191">
        <f t="shared" si="0"/>
        <v>-175</v>
      </c>
    </row>
    <row r="90" spans="1:10" x14ac:dyDescent="0.3">
      <c r="A90" s="188" t="s">
        <v>1974</v>
      </c>
      <c r="B90" s="188" t="s">
        <v>1972</v>
      </c>
      <c r="C90" s="189" t="s">
        <v>1973</v>
      </c>
      <c r="D90" s="188" t="s">
        <v>1951</v>
      </c>
      <c r="E90" s="188" t="s">
        <v>1980</v>
      </c>
      <c r="F90" s="189" t="s">
        <v>1953</v>
      </c>
      <c r="G90" s="190">
        <v>2.4</v>
      </c>
      <c r="H90" s="191">
        <v>300</v>
      </c>
      <c r="I90" s="191">
        <v>297</v>
      </c>
      <c r="J90" s="191">
        <f t="shared" si="0"/>
        <v>3</v>
      </c>
    </row>
    <row r="91" spans="1:10" x14ac:dyDescent="0.3">
      <c r="A91" s="188" t="s">
        <v>1974</v>
      </c>
      <c r="B91" s="188" t="s">
        <v>1972</v>
      </c>
      <c r="C91" s="189" t="s">
        <v>1973</v>
      </c>
      <c r="D91" s="188" t="s">
        <v>1951</v>
      </c>
      <c r="E91" s="188" t="s">
        <v>1981</v>
      </c>
      <c r="F91" s="192" t="s">
        <v>1956</v>
      </c>
      <c r="G91" s="190">
        <v>8.4</v>
      </c>
      <c r="H91" s="191">
        <v>1050</v>
      </c>
      <c r="I91" s="191">
        <v>1039.5</v>
      </c>
      <c r="J91" s="191">
        <f t="shared" si="0"/>
        <v>10.5</v>
      </c>
    </row>
    <row r="92" spans="1:10" x14ac:dyDescent="0.3">
      <c r="A92" s="188" t="s">
        <v>1974</v>
      </c>
      <c r="B92" s="188" t="s">
        <v>1958</v>
      </c>
      <c r="C92" s="189">
        <v>1120</v>
      </c>
      <c r="D92" s="188" t="s">
        <v>1951</v>
      </c>
      <c r="E92" s="188" t="s">
        <v>1981</v>
      </c>
      <c r="F92" s="192" t="s">
        <v>1956</v>
      </c>
      <c r="G92" s="190">
        <v>19</v>
      </c>
      <c r="H92" s="191">
        <v>2375</v>
      </c>
      <c r="I92" s="191">
        <v>3206.25</v>
      </c>
      <c r="J92" s="191">
        <f t="shared" si="0"/>
        <v>-831.25</v>
      </c>
    </row>
    <row r="93" spans="1:10" x14ac:dyDescent="0.3">
      <c r="A93" s="188" t="s">
        <v>1974</v>
      </c>
      <c r="B93" s="188" t="s">
        <v>1972</v>
      </c>
      <c r="C93" s="189">
        <v>1120</v>
      </c>
      <c r="D93" s="188" t="s">
        <v>1951</v>
      </c>
      <c r="E93" s="188" t="s">
        <v>1982</v>
      </c>
      <c r="F93" s="192" t="s">
        <v>1956</v>
      </c>
      <c r="G93" s="190">
        <v>3.7</v>
      </c>
      <c r="H93" s="191">
        <v>462.5</v>
      </c>
      <c r="I93" s="191">
        <v>457.875</v>
      </c>
      <c r="J93" s="191">
        <f t="shared" si="0"/>
        <v>4.625</v>
      </c>
    </row>
    <row r="94" spans="1:10" x14ac:dyDescent="0.3">
      <c r="A94" s="188" t="s">
        <v>1983</v>
      </c>
      <c r="B94" s="188" t="s">
        <v>1972</v>
      </c>
      <c r="C94" s="189">
        <v>1040</v>
      </c>
      <c r="D94" s="188" t="s">
        <v>1951</v>
      </c>
      <c r="E94" s="188" t="s">
        <v>1961</v>
      </c>
      <c r="F94" s="189" t="s">
        <v>1953</v>
      </c>
      <c r="G94" s="190">
        <v>17</v>
      </c>
      <c r="H94" s="191">
        <v>1700</v>
      </c>
      <c r="I94" s="191">
        <v>1683</v>
      </c>
      <c r="J94" s="191">
        <f t="shared" si="0"/>
        <v>17</v>
      </c>
    </row>
    <row r="95" spans="1:10" x14ac:dyDescent="0.3">
      <c r="A95" s="188" t="s">
        <v>1983</v>
      </c>
      <c r="B95" s="188" t="s">
        <v>1958</v>
      </c>
      <c r="C95" s="189">
        <v>1065</v>
      </c>
      <c r="D95" s="188" t="s">
        <v>1951</v>
      </c>
      <c r="E95" s="192" t="s">
        <v>1965</v>
      </c>
      <c r="F95" s="192" t="s">
        <v>1956</v>
      </c>
      <c r="G95" s="190">
        <v>19</v>
      </c>
      <c r="H95" s="191">
        <v>1900</v>
      </c>
      <c r="I95" s="191">
        <v>2565</v>
      </c>
      <c r="J95" s="191">
        <f t="shared" si="0"/>
        <v>-665</v>
      </c>
    </row>
    <row r="96" spans="1:10" x14ac:dyDescent="0.3">
      <c r="A96" s="188" t="s">
        <v>1983</v>
      </c>
      <c r="B96" s="188" t="s">
        <v>1972</v>
      </c>
      <c r="C96" s="189">
        <v>1040</v>
      </c>
      <c r="D96" s="188" t="s">
        <v>1951</v>
      </c>
      <c r="E96" s="188" t="s">
        <v>1967</v>
      </c>
      <c r="F96" s="189" t="s">
        <v>1953</v>
      </c>
      <c r="G96" s="190">
        <v>5.5</v>
      </c>
      <c r="H96" s="191">
        <v>550</v>
      </c>
      <c r="I96" s="191">
        <v>544.5</v>
      </c>
      <c r="J96" s="191">
        <f t="shared" si="0"/>
        <v>5.5</v>
      </c>
    </row>
    <row r="97" spans="1:10" x14ac:dyDescent="0.3">
      <c r="A97" s="188" t="s">
        <v>1984</v>
      </c>
      <c r="B97" s="188" t="s">
        <v>1958</v>
      </c>
      <c r="C97" s="192" t="s">
        <v>1985</v>
      </c>
      <c r="D97" s="188" t="s">
        <v>1951</v>
      </c>
      <c r="E97" s="188" t="s">
        <v>1970</v>
      </c>
      <c r="F97" s="192" t="s">
        <v>1956</v>
      </c>
      <c r="G97" s="190">
        <v>3.7</v>
      </c>
      <c r="H97" s="191">
        <v>277.5</v>
      </c>
      <c r="I97" s="191">
        <v>374.625</v>
      </c>
      <c r="J97" s="191">
        <f t="shared" si="0"/>
        <v>-97.125</v>
      </c>
    </row>
    <row r="98" spans="1:10" x14ac:dyDescent="0.3">
      <c r="A98" s="188" t="s">
        <v>1984</v>
      </c>
      <c r="B98" s="188" t="s">
        <v>1972</v>
      </c>
      <c r="C98" s="189">
        <v>1120</v>
      </c>
      <c r="D98" s="188" t="s">
        <v>1951</v>
      </c>
      <c r="E98" s="188" t="s">
        <v>1970</v>
      </c>
      <c r="F98" s="192" t="s">
        <v>1956</v>
      </c>
      <c r="G98" s="190">
        <v>8.4</v>
      </c>
      <c r="H98" s="191">
        <v>630</v>
      </c>
      <c r="I98" s="191">
        <v>623.70000000000005</v>
      </c>
      <c r="J98" s="191">
        <f t="shared" si="0"/>
        <v>6.2999999999999545</v>
      </c>
    </row>
    <row r="99" spans="1:10" x14ac:dyDescent="0.3">
      <c r="A99" s="188" t="s">
        <v>1984</v>
      </c>
      <c r="B99" s="188" t="s">
        <v>1958</v>
      </c>
      <c r="C99" s="189">
        <v>1120</v>
      </c>
      <c r="D99" s="188" t="s">
        <v>1951</v>
      </c>
      <c r="E99" s="188" t="s">
        <v>1986</v>
      </c>
      <c r="F99" s="192" t="s">
        <v>1956</v>
      </c>
      <c r="G99" s="190">
        <v>2.6</v>
      </c>
      <c r="H99" s="191">
        <v>195</v>
      </c>
      <c r="I99" s="191">
        <v>263.25</v>
      </c>
      <c r="J99" s="191">
        <f t="shared" si="0"/>
        <v>-68.25</v>
      </c>
    </row>
    <row r="100" spans="1:10" x14ac:dyDescent="0.3">
      <c r="A100" s="188" t="s">
        <v>1984</v>
      </c>
      <c r="B100" s="188" t="s">
        <v>1972</v>
      </c>
      <c r="C100" s="189" t="s">
        <v>1973</v>
      </c>
      <c r="D100" s="188" t="s">
        <v>1951</v>
      </c>
      <c r="E100" s="188" t="s">
        <v>1986</v>
      </c>
      <c r="F100" s="192" t="s">
        <v>1956</v>
      </c>
      <c r="G100" s="190">
        <v>12.9</v>
      </c>
      <c r="H100" s="191">
        <v>967.5</v>
      </c>
      <c r="I100" s="191">
        <v>957.82500000000005</v>
      </c>
      <c r="J100" s="191">
        <f t="shared" si="0"/>
        <v>9.6749999999999545</v>
      </c>
    </row>
    <row r="101" spans="1:10" x14ac:dyDescent="0.3">
      <c r="A101" s="188" t="s">
        <v>1984</v>
      </c>
      <c r="B101" s="188" t="s">
        <v>1972</v>
      </c>
      <c r="C101" s="189">
        <v>1040</v>
      </c>
      <c r="D101" s="188" t="s">
        <v>1951</v>
      </c>
      <c r="E101" s="188" t="s">
        <v>1952</v>
      </c>
      <c r="F101" s="189" t="s">
        <v>1953</v>
      </c>
      <c r="G101" s="190">
        <v>10.199999999999999</v>
      </c>
      <c r="H101" s="191">
        <v>765</v>
      </c>
      <c r="I101" s="191">
        <v>757.35</v>
      </c>
      <c r="J101" s="191">
        <f t="shared" si="0"/>
        <v>7.6499999999999773</v>
      </c>
    </row>
    <row r="102" spans="1:10" x14ac:dyDescent="0.3">
      <c r="A102" s="188" t="s">
        <v>1984</v>
      </c>
      <c r="B102" s="188" t="s">
        <v>1972</v>
      </c>
      <c r="C102" s="189">
        <v>1120</v>
      </c>
      <c r="D102" s="188" t="s">
        <v>1951</v>
      </c>
      <c r="E102" s="188" t="s">
        <v>1955</v>
      </c>
      <c r="F102" s="192" t="s">
        <v>1956</v>
      </c>
      <c r="G102" s="190">
        <v>16</v>
      </c>
      <c r="H102" s="191">
        <v>1200</v>
      </c>
      <c r="I102" s="191">
        <v>1188</v>
      </c>
      <c r="J102" s="191">
        <f t="shared" si="0"/>
        <v>12</v>
      </c>
    </row>
    <row r="103" spans="1:10" x14ac:dyDescent="0.3">
      <c r="A103" s="188" t="s">
        <v>1984</v>
      </c>
      <c r="B103" s="188" t="s">
        <v>1958</v>
      </c>
      <c r="C103" s="189">
        <v>1040</v>
      </c>
      <c r="D103" s="188" t="s">
        <v>1951</v>
      </c>
      <c r="E103" s="188" t="s">
        <v>1963</v>
      </c>
      <c r="F103" s="189" t="s">
        <v>1953</v>
      </c>
      <c r="G103" s="190">
        <v>9</v>
      </c>
      <c r="H103" s="191">
        <v>675</v>
      </c>
      <c r="I103" s="191">
        <v>911.25</v>
      </c>
      <c r="J103" s="191">
        <f t="shared" si="0"/>
        <v>-236.25</v>
      </c>
    </row>
    <row r="104" spans="1:10" x14ac:dyDescent="0.3">
      <c r="A104" s="188" t="s">
        <v>1984</v>
      </c>
      <c r="B104" s="188" t="s">
        <v>1972</v>
      </c>
      <c r="C104" s="189">
        <v>1040</v>
      </c>
      <c r="D104" s="188" t="s">
        <v>1951</v>
      </c>
      <c r="E104" s="188" t="s">
        <v>1963</v>
      </c>
      <c r="F104" s="189" t="s">
        <v>1953</v>
      </c>
      <c r="G104" s="190">
        <v>2.9</v>
      </c>
      <c r="H104" s="191">
        <v>217.5</v>
      </c>
      <c r="I104" s="191">
        <v>215.32499999999999</v>
      </c>
      <c r="J104" s="191">
        <f t="shared" si="0"/>
        <v>2.1750000000000114</v>
      </c>
    </row>
    <row r="105" spans="1:10" x14ac:dyDescent="0.3">
      <c r="A105" s="188" t="s">
        <v>1566</v>
      </c>
      <c r="B105" s="188" t="s">
        <v>1954</v>
      </c>
      <c r="C105" s="189">
        <v>1065</v>
      </c>
      <c r="D105" s="188" t="s">
        <v>1951</v>
      </c>
      <c r="E105" s="188" t="s">
        <v>1986</v>
      </c>
      <c r="F105" s="192" t="s">
        <v>1956</v>
      </c>
      <c r="G105" s="190">
        <v>2.9</v>
      </c>
      <c r="H105" s="191">
        <v>217.5</v>
      </c>
      <c r="I105" s="191">
        <v>243.6</v>
      </c>
      <c r="J105" s="191">
        <f t="shared" si="0"/>
        <v>-26.099999999999994</v>
      </c>
    </row>
    <row r="106" spans="1:10" x14ac:dyDescent="0.3">
      <c r="A106" s="188" t="s">
        <v>943</v>
      </c>
      <c r="B106" s="188" t="s">
        <v>1954</v>
      </c>
      <c r="C106" s="189">
        <v>1040</v>
      </c>
      <c r="D106" s="188" t="s">
        <v>1951</v>
      </c>
      <c r="E106" s="188" t="s">
        <v>1975</v>
      </c>
      <c r="F106" s="189" t="s">
        <v>1953</v>
      </c>
      <c r="G106" s="190">
        <v>5.5</v>
      </c>
      <c r="H106" s="191">
        <v>687.5</v>
      </c>
      <c r="I106" s="191">
        <v>770</v>
      </c>
      <c r="J106" s="191">
        <f t="shared" si="0"/>
        <v>-82.5</v>
      </c>
    </row>
    <row r="107" spans="1:10" x14ac:dyDescent="0.3">
      <c r="A107" s="188" t="s">
        <v>943</v>
      </c>
      <c r="B107" s="188" t="s">
        <v>1950</v>
      </c>
      <c r="C107" s="189">
        <v>1040</v>
      </c>
      <c r="D107" s="188" t="s">
        <v>1951</v>
      </c>
      <c r="E107" s="188" t="s">
        <v>1976</v>
      </c>
      <c r="F107" s="189" t="s">
        <v>1953</v>
      </c>
      <c r="G107" s="190">
        <v>8.4</v>
      </c>
      <c r="H107" s="191">
        <v>1050</v>
      </c>
      <c r="I107" s="191">
        <v>966</v>
      </c>
      <c r="J107" s="191">
        <f t="shared" si="0"/>
        <v>84</v>
      </c>
    </row>
    <row r="108" spans="1:10" x14ac:dyDescent="0.3">
      <c r="A108" s="188" t="s">
        <v>943</v>
      </c>
      <c r="B108" s="188" t="s">
        <v>1950</v>
      </c>
      <c r="C108" s="189">
        <v>1120</v>
      </c>
      <c r="D108" s="188" t="s">
        <v>1951</v>
      </c>
      <c r="E108" s="188" t="s">
        <v>1977</v>
      </c>
      <c r="F108" s="192" t="s">
        <v>1956</v>
      </c>
      <c r="G108" s="190">
        <v>32</v>
      </c>
      <c r="H108" s="191">
        <v>4000</v>
      </c>
      <c r="I108" s="191">
        <v>3680</v>
      </c>
      <c r="J108" s="191">
        <f t="shared" si="0"/>
        <v>320</v>
      </c>
    </row>
    <row r="109" spans="1:10" x14ac:dyDescent="0.3">
      <c r="A109" s="188" t="s">
        <v>943</v>
      </c>
      <c r="B109" s="188" t="s">
        <v>1954</v>
      </c>
      <c r="C109" s="189">
        <v>1120</v>
      </c>
      <c r="D109" s="188" t="s">
        <v>1951</v>
      </c>
      <c r="E109" s="188" t="s">
        <v>1977</v>
      </c>
      <c r="F109" s="192" t="s">
        <v>1956</v>
      </c>
      <c r="G109" s="190">
        <v>14</v>
      </c>
      <c r="H109" s="191">
        <v>1750</v>
      </c>
      <c r="I109" s="191">
        <v>1960</v>
      </c>
      <c r="J109" s="191">
        <f t="shared" si="0"/>
        <v>-210</v>
      </c>
    </row>
    <row r="110" spans="1:10" x14ac:dyDescent="0.3">
      <c r="A110" s="188" t="s">
        <v>943</v>
      </c>
      <c r="B110" s="188" t="s">
        <v>1954</v>
      </c>
      <c r="C110" s="189">
        <v>1040</v>
      </c>
      <c r="D110" s="188" t="s">
        <v>1951</v>
      </c>
      <c r="E110" s="188" t="s">
        <v>1978</v>
      </c>
      <c r="F110" s="189" t="s">
        <v>1953</v>
      </c>
      <c r="G110" s="190">
        <v>6</v>
      </c>
      <c r="H110" s="191">
        <v>750</v>
      </c>
      <c r="I110" s="191">
        <v>840</v>
      </c>
      <c r="J110" s="191">
        <f t="shared" si="0"/>
        <v>-90</v>
      </c>
    </row>
    <row r="111" spans="1:10" x14ac:dyDescent="0.3">
      <c r="A111" s="188" t="s">
        <v>943</v>
      </c>
      <c r="B111" s="188" t="s">
        <v>1950</v>
      </c>
      <c r="C111" s="189">
        <v>1040</v>
      </c>
      <c r="D111" s="188" t="s">
        <v>1951</v>
      </c>
      <c r="E111" s="188" t="s">
        <v>1978</v>
      </c>
      <c r="F111" s="189" t="s">
        <v>1953</v>
      </c>
      <c r="G111" s="190">
        <v>3.7</v>
      </c>
      <c r="H111" s="191">
        <v>462.5</v>
      </c>
      <c r="I111" s="191">
        <v>425.5</v>
      </c>
      <c r="J111" s="191">
        <f t="shared" si="0"/>
        <v>37</v>
      </c>
    </row>
    <row r="112" spans="1:10" x14ac:dyDescent="0.3">
      <c r="A112" s="188" t="s">
        <v>943</v>
      </c>
      <c r="B112" s="188" t="s">
        <v>1950</v>
      </c>
      <c r="C112" s="189">
        <v>1120</v>
      </c>
      <c r="D112" s="188" t="s">
        <v>1951</v>
      </c>
      <c r="E112" s="192" t="s">
        <v>1979</v>
      </c>
      <c r="F112" s="192" t="s">
        <v>1956</v>
      </c>
      <c r="G112" s="190">
        <v>17</v>
      </c>
      <c r="H112" s="191">
        <v>2125</v>
      </c>
      <c r="I112" s="191">
        <v>1955</v>
      </c>
      <c r="J112" s="191">
        <f t="shared" si="0"/>
        <v>170</v>
      </c>
    </row>
    <row r="113" spans="1:10" x14ac:dyDescent="0.3">
      <c r="A113" s="188" t="s">
        <v>943</v>
      </c>
      <c r="B113" s="188" t="s">
        <v>1954</v>
      </c>
      <c r="C113" s="189">
        <v>1120</v>
      </c>
      <c r="D113" s="188" t="s">
        <v>1951</v>
      </c>
      <c r="E113" s="192" t="s">
        <v>1979</v>
      </c>
      <c r="F113" s="192" t="s">
        <v>1956</v>
      </c>
      <c r="G113" s="190">
        <v>4</v>
      </c>
      <c r="H113" s="191">
        <v>500</v>
      </c>
      <c r="I113" s="191">
        <v>560</v>
      </c>
      <c r="J113" s="191">
        <f t="shared" si="0"/>
        <v>-60</v>
      </c>
    </row>
    <row r="114" spans="1:10" x14ac:dyDescent="0.3">
      <c r="A114" s="188" t="s">
        <v>943</v>
      </c>
      <c r="B114" s="188" t="s">
        <v>1954</v>
      </c>
      <c r="C114" s="189">
        <v>1040</v>
      </c>
      <c r="D114" s="188" t="s">
        <v>1951</v>
      </c>
      <c r="E114" s="188" t="s">
        <v>1980</v>
      </c>
      <c r="F114" s="189" t="s">
        <v>1953</v>
      </c>
      <c r="G114" s="190">
        <v>6</v>
      </c>
      <c r="H114" s="191">
        <v>750</v>
      </c>
      <c r="I114" s="191">
        <v>840</v>
      </c>
      <c r="J114" s="191">
        <f t="shared" si="0"/>
        <v>-90</v>
      </c>
    </row>
    <row r="115" spans="1:10" x14ac:dyDescent="0.3">
      <c r="A115" s="188" t="s">
        <v>943</v>
      </c>
      <c r="B115" s="188" t="s">
        <v>1950</v>
      </c>
      <c r="C115" s="189">
        <v>1120</v>
      </c>
      <c r="D115" s="188" t="s">
        <v>1951</v>
      </c>
      <c r="E115" s="188" t="s">
        <v>1981</v>
      </c>
      <c r="F115" s="192" t="s">
        <v>1956</v>
      </c>
      <c r="G115" s="190">
        <v>10.199999999999999</v>
      </c>
      <c r="H115" s="191">
        <v>1275</v>
      </c>
      <c r="I115" s="191">
        <v>1173</v>
      </c>
      <c r="J115" s="191">
        <f t="shared" si="0"/>
        <v>102</v>
      </c>
    </row>
    <row r="116" spans="1:10" x14ac:dyDescent="0.3">
      <c r="A116" s="188" t="s">
        <v>943</v>
      </c>
      <c r="B116" s="188" t="s">
        <v>1954</v>
      </c>
      <c r="C116" s="189" t="s">
        <v>1959</v>
      </c>
      <c r="D116" s="188" t="s">
        <v>1951</v>
      </c>
      <c r="E116" s="188" t="s">
        <v>1982</v>
      </c>
      <c r="F116" s="192" t="s">
        <v>1956</v>
      </c>
      <c r="G116" s="190">
        <v>4.5</v>
      </c>
      <c r="H116" s="191">
        <v>562.5</v>
      </c>
      <c r="I116" s="191">
        <v>630</v>
      </c>
      <c r="J116" s="191">
        <f t="shared" si="0"/>
        <v>-67.5</v>
      </c>
    </row>
    <row r="117" spans="1:10" x14ac:dyDescent="0.3">
      <c r="A117" s="188" t="s">
        <v>943</v>
      </c>
      <c r="B117" s="188" t="s">
        <v>1950</v>
      </c>
      <c r="C117" s="189">
        <v>1120</v>
      </c>
      <c r="D117" s="188" t="s">
        <v>1951</v>
      </c>
      <c r="E117" s="188" t="s">
        <v>1982</v>
      </c>
      <c r="F117" s="192" t="s">
        <v>1956</v>
      </c>
      <c r="G117" s="190">
        <v>2</v>
      </c>
      <c r="H117" s="191">
        <v>250</v>
      </c>
      <c r="I117" s="191">
        <v>230</v>
      </c>
      <c r="J117" s="191">
        <f t="shared" si="0"/>
        <v>20</v>
      </c>
    </row>
    <row r="118" spans="1:10" x14ac:dyDescent="0.3">
      <c r="A118" s="188" t="s">
        <v>1794</v>
      </c>
      <c r="B118" s="188" t="s">
        <v>1958</v>
      </c>
      <c r="C118" s="189">
        <v>1040</v>
      </c>
      <c r="D118" s="188" t="s">
        <v>1951</v>
      </c>
      <c r="E118" s="188" t="s">
        <v>1966</v>
      </c>
      <c r="F118" s="189" t="s">
        <v>1953</v>
      </c>
      <c r="G118" s="190">
        <v>22</v>
      </c>
      <c r="H118" s="191">
        <v>2200</v>
      </c>
      <c r="I118" s="191">
        <v>2970</v>
      </c>
      <c r="J118" s="191">
        <f t="shared" si="0"/>
        <v>-770</v>
      </c>
    </row>
    <row r="119" spans="1:10" x14ac:dyDescent="0.3">
      <c r="A119" s="188" t="s">
        <v>1794</v>
      </c>
      <c r="B119" s="188" t="s">
        <v>1972</v>
      </c>
      <c r="C119" s="189">
        <v>1040</v>
      </c>
      <c r="D119" s="188" t="s">
        <v>1951</v>
      </c>
      <c r="E119" s="188" t="s">
        <v>1969</v>
      </c>
      <c r="F119" s="189" t="s">
        <v>1953</v>
      </c>
      <c r="G119" s="190">
        <v>4</v>
      </c>
      <c r="H119" s="191">
        <v>400</v>
      </c>
      <c r="I119" s="191">
        <v>396</v>
      </c>
      <c r="J119" s="191">
        <f t="shared" si="0"/>
        <v>4</v>
      </c>
    </row>
    <row r="120" spans="1:10" x14ac:dyDescent="0.3">
      <c r="A120" s="188" t="s">
        <v>1797</v>
      </c>
      <c r="B120" s="188" t="s">
        <v>1950</v>
      </c>
      <c r="C120" s="189">
        <v>1040</v>
      </c>
      <c r="D120" s="188" t="s">
        <v>1987</v>
      </c>
      <c r="E120" s="188" t="s">
        <v>1988</v>
      </c>
      <c r="F120" s="189" t="s">
        <v>1953</v>
      </c>
      <c r="G120" s="190">
        <v>6</v>
      </c>
      <c r="H120" s="191">
        <v>450</v>
      </c>
      <c r="I120" s="191">
        <v>414</v>
      </c>
      <c r="J120" s="191">
        <f t="shared" si="0"/>
        <v>36</v>
      </c>
    </row>
    <row r="121" spans="1:10" x14ac:dyDescent="0.3">
      <c r="A121" s="188" t="s">
        <v>1797</v>
      </c>
      <c r="B121" s="188" t="s">
        <v>1954</v>
      </c>
      <c r="C121" s="189">
        <v>1040</v>
      </c>
      <c r="D121" s="188" t="s">
        <v>1987</v>
      </c>
      <c r="E121" s="188" t="s">
        <v>1989</v>
      </c>
      <c r="F121" s="189" t="s">
        <v>1953</v>
      </c>
      <c r="G121" s="190">
        <v>5</v>
      </c>
      <c r="H121" s="191">
        <v>375</v>
      </c>
      <c r="I121" s="191">
        <v>420</v>
      </c>
      <c r="J121" s="191">
        <f t="shared" si="0"/>
        <v>-45</v>
      </c>
    </row>
    <row r="122" spans="1:10" x14ac:dyDescent="0.3">
      <c r="A122" s="188" t="s">
        <v>1797</v>
      </c>
      <c r="B122" s="188" t="s">
        <v>1950</v>
      </c>
      <c r="C122" s="189">
        <v>1120</v>
      </c>
      <c r="D122" s="188" t="s">
        <v>1987</v>
      </c>
      <c r="E122" s="188" t="s">
        <v>1990</v>
      </c>
      <c r="F122" s="192" t="s">
        <v>1956</v>
      </c>
      <c r="G122" s="190">
        <v>17</v>
      </c>
      <c r="H122" s="191">
        <v>1275</v>
      </c>
      <c r="I122" s="191">
        <v>1173</v>
      </c>
      <c r="J122" s="191">
        <f t="shared" si="0"/>
        <v>102</v>
      </c>
    </row>
    <row r="123" spans="1:10" x14ac:dyDescent="0.3">
      <c r="A123" s="188" t="s">
        <v>1957</v>
      </c>
      <c r="B123" s="188" t="s">
        <v>1958</v>
      </c>
      <c r="C123" s="189">
        <v>1120</v>
      </c>
      <c r="D123" s="188" t="s">
        <v>1987</v>
      </c>
      <c r="E123" s="188" t="s">
        <v>1991</v>
      </c>
      <c r="F123" s="192" t="s">
        <v>1956</v>
      </c>
      <c r="G123" s="190">
        <v>2.6</v>
      </c>
      <c r="H123" s="191">
        <v>260</v>
      </c>
      <c r="I123" s="191">
        <v>351</v>
      </c>
      <c r="J123" s="191">
        <f t="shared" si="0"/>
        <v>-91</v>
      </c>
    </row>
    <row r="124" spans="1:10" x14ac:dyDescent="0.3">
      <c r="A124" s="188" t="s">
        <v>1957</v>
      </c>
      <c r="B124" s="188" t="s">
        <v>1972</v>
      </c>
      <c r="C124" s="189">
        <v>1120</v>
      </c>
      <c r="D124" s="188" t="s">
        <v>1987</v>
      </c>
      <c r="E124" s="188" t="s">
        <v>1992</v>
      </c>
      <c r="F124" s="192" t="s">
        <v>1956</v>
      </c>
      <c r="G124" s="190">
        <v>6</v>
      </c>
      <c r="H124" s="191">
        <v>600</v>
      </c>
      <c r="I124" s="191">
        <v>594</v>
      </c>
      <c r="J124" s="191">
        <f t="shared" si="0"/>
        <v>6</v>
      </c>
    </row>
    <row r="125" spans="1:10" x14ac:dyDescent="0.3">
      <c r="A125" s="188" t="s">
        <v>1962</v>
      </c>
      <c r="B125" s="188" t="s">
        <v>1954</v>
      </c>
      <c r="C125" s="189">
        <v>1040</v>
      </c>
      <c r="D125" s="188" t="s">
        <v>1987</v>
      </c>
      <c r="E125" s="188" t="s">
        <v>1988</v>
      </c>
      <c r="F125" s="189" t="s">
        <v>1953</v>
      </c>
      <c r="G125" s="190">
        <v>3.5</v>
      </c>
      <c r="H125" s="191">
        <v>262.5</v>
      </c>
      <c r="I125" s="191">
        <v>294</v>
      </c>
      <c r="J125" s="191">
        <f t="shared" si="0"/>
        <v>-31.5</v>
      </c>
    </row>
    <row r="126" spans="1:10" x14ac:dyDescent="0.3">
      <c r="A126" s="188" t="s">
        <v>1964</v>
      </c>
      <c r="B126" s="188" t="s">
        <v>1950</v>
      </c>
      <c r="C126" s="189" t="s">
        <v>1959</v>
      </c>
      <c r="D126" s="188" t="s">
        <v>1987</v>
      </c>
      <c r="E126" s="188" t="s">
        <v>1993</v>
      </c>
      <c r="F126" s="189" t="s">
        <v>1953</v>
      </c>
      <c r="G126" s="190">
        <v>5</v>
      </c>
      <c r="H126" s="191">
        <v>500</v>
      </c>
      <c r="I126" s="191">
        <v>460</v>
      </c>
      <c r="J126" s="191">
        <f t="shared" si="0"/>
        <v>40</v>
      </c>
    </row>
    <row r="127" spans="1:10" x14ac:dyDescent="0.3">
      <c r="A127" s="188" t="s">
        <v>1964</v>
      </c>
      <c r="B127" s="188" t="s">
        <v>1954</v>
      </c>
      <c r="C127" s="189" t="s">
        <v>1973</v>
      </c>
      <c r="D127" s="188" t="s">
        <v>1987</v>
      </c>
      <c r="E127" s="188" t="s">
        <v>1994</v>
      </c>
      <c r="F127" s="192" t="s">
        <v>1956</v>
      </c>
      <c r="G127" s="190">
        <v>4</v>
      </c>
      <c r="H127" s="191">
        <v>400</v>
      </c>
      <c r="I127" s="191">
        <v>448</v>
      </c>
      <c r="J127" s="191">
        <f t="shared" ref="J127:J190" si="1">H127-I127</f>
        <v>-48</v>
      </c>
    </row>
    <row r="128" spans="1:10" x14ac:dyDescent="0.3">
      <c r="A128" s="188" t="s">
        <v>1964</v>
      </c>
      <c r="B128" s="188" t="s">
        <v>1950</v>
      </c>
      <c r="C128" s="189">
        <v>1120</v>
      </c>
      <c r="D128" s="188" t="s">
        <v>1987</v>
      </c>
      <c r="E128" s="188" t="s">
        <v>1994</v>
      </c>
      <c r="F128" s="192" t="s">
        <v>1956</v>
      </c>
      <c r="G128" s="190">
        <v>2.4</v>
      </c>
      <c r="H128" s="191">
        <v>240</v>
      </c>
      <c r="I128" s="191">
        <v>220.8</v>
      </c>
      <c r="J128" s="191">
        <f t="shared" si="1"/>
        <v>19.199999999999989</v>
      </c>
    </row>
    <row r="129" spans="1:10" x14ac:dyDescent="0.3">
      <c r="A129" s="188" t="s">
        <v>1964</v>
      </c>
      <c r="B129" s="188" t="s">
        <v>1950</v>
      </c>
      <c r="C129" s="189">
        <v>1065</v>
      </c>
      <c r="D129" s="188" t="s">
        <v>1987</v>
      </c>
      <c r="E129" s="188" t="s">
        <v>1995</v>
      </c>
      <c r="F129" s="192" t="s">
        <v>1956</v>
      </c>
      <c r="G129" s="190">
        <v>4.5</v>
      </c>
      <c r="H129" s="191">
        <v>450</v>
      </c>
      <c r="I129" s="191">
        <v>414</v>
      </c>
      <c r="J129" s="191">
        <f t="shared" si="1"/>
        <v>36</v>
      </c>
    </row>
    <row r="130" spans="1:10" x14ac:dyDescent="0.3">
      <c r="A130" s="188" t="s">
        <v>1964</v>
      </c>
      <c r="B130" s="188" t="s">
        <v>1950</v>
      </c>
      <c r="C130" s="189">
        <v>1120</v>
      </c>
      <c r="D130" s="188" t="s">
        <v>1987</v>
      </c>
      <c r="E130" s="188" t="s">
        <v>1991</v>
      </c>
      <c r="F130" s="192" t="s">
        <v>1956</v>
      </c>
      <c r="G130" s="190">
        <v>9</v>
      </c>
      <c r="H130" s="191">
        <v>900</v>
      </c>
      <c r="I130" s="191">
        <v>828</v>
      </c>
      <c r="J130" s="191">
        <f t="shared" si="1"/>
        <v>72</v>
      </c>
    </row>
    <row r="131" spans="1:10" x14ac:dyDescent="0.3">
      <c r="A131" s="188" t="s">
        <v>1964</v>
      </c>
      <c r="B131" s="188" t="s">
        <v>1950</v>
      </c>
      <c r="C131" s="189">
        <v>1040</v>
      </c>
      <c r="D131" s="188" t="s">
        <v>1987</v>
      </c>
      <c r="E131" s="188" t="s">
        <v>1996</v>
      </c>
      <c r="F131" s="189" t="s">
        <v>1953</v>
      </c>
      <c r="G131" s="190">
        <v>2.6</v>
      </c>
      <c r="H131" s="191">
        <v>260</v>
      </c>
      <c r="I131" s="191">
        <v>239.2</v>
      </c>
      <c r="J131" s="191">
        <f t="shared" si="1"/>
        <v>20.800000000000011</v>
      </c>
    </row>
    <row r="132" spans="1:10" x14ac:dyDescent="0.3">
      <c r="A132" s="188" t="s">
        <v>1964</v>
      </c>
      <c r="B132" s="188" t="s">
        <v>1954</v>
      </c>
      <c r="C132" s="189" t="s">
        <v>1959</v>
      </c>
      <c r="D132" s="188" t="s">
        <v>1987</v>
      </c>
      <c r="E132" s="188" t="s">
        <v>1996</v>
      </c>
      <c r="F132" s="189" t="s">
        <v>1953</v>
      </c>
      <c r="G132" s="190">
        <v>12.9</v>
      </c>
      <c r="H132" s="191">
        <v>1290</v>
      </c>
      <c r="I132" s="191">
        <v>1444.8</v>
      </c>
      <c r="J132" s="191">
        <f t="shared" si="1"/>
        <v>-154.79999999999995</v>
      </c>
    </row>
    <row r="133" spans="1:10" x14ac:dyDescent="0.3">
      <c r="A133" s="188" t="s">
        <v>1964</v>
      </c>
      <c r="B133" s="188" t="s">
        <v>1954</v>
      </c>
      <c r="C133" s="189">
        <v>1120</v>
      </c>
      <c r="D133" s="188" t="s">
        <v>1987</v>
      </c>
      <c r="E133" s="188" t="s">
        <v>1992</v>
      </c>
      <c r="F133" s="192" t="s">
        <v>1956</v>
      </c>
      <c r="G133" s="190">
        <v>14</v>
      </c>
      <c r="H133" s="191">
        <v>1400</v>
      </c>
      <c r="I133" s="191">
        <v>1568</v>
      </c>
      <c r="J133" s="191">
        <f t="shared" si="1"/>
        <v>-168</v>
      </c>
    </row>
    <row r="134" spans="1:10" x14ac:dyDescent="0.3">
      <c r="A134" s="188" t="s">
        <v>1964</v>
      </c>
      <c r="B134" s="188" t="s">
        <v>1950</v>
      </c>
      <c r="C134" s="189">
        <v>1120</v>
      </c>
      <c r="D134" s="188" t="s">
        <v>1987</v>
      </c>
      <c r="E134" s="188" t="s">
        <v>1992</v>
      </c>
      <c r="F134" s="192" t="s">
        <v>1956</v>
      </c>
      <c r="G134" s="190">
        <v>5.5</v>
      </c>
      <c r="H134" s="191">
        <v>550</v>
      </c>
      <c r="I134" s="191">
        <v>506</v>
      </c>
      <c r="J134" s="191">
        <f t="shared" si="1"/>
        <v>44</v>
      </c>
    </row>
    <row r="135" spans="1:10" x14ac:dyDescent="0.3">
      <c r="A135" s="188" t="s">
        <v>1964</v>
      </c>
      <c r="B135" s="188" t="s">
        <v>1954</v>
      </c>
      <c r="C135" s="189">
        <v>1120</v>
      </c>
      <c r="D135" s="188" t="s">
        <v>1987</v>
      </c>
      <c r="E135" s="188" t="s">
        <v>1997</v>
      </c>
      <c r="F135" s="192" t="s">
        <v>1956</v>
      </c>
      <c r="G135" s="190">
        <v>32</v>
      </c>
      <c r="H135" s="191">
        <v>3200</v>
      </c>
      <c r="I135" s="191">
        <v>3584</v>
      </c>
      <c r="J135" s="191">
        <f t="shared" si="1"/>
        <v>-384</v>
      </c>
    </row>
    <row r="136" spans="1:10" x14ac:dyDescent="0.3">
      <c r="A136" s="188" t="s">
        <v>1971</v>
      </c>
      <c r="B136" s="188" t="s">
        <v>1972</v>
      </c>
      <c r="C136" s="189">
        <v>1040</v>
      </c>
      <c r="D136" s="188" t="s">
        <v>1987</v>
      </c>
      <c r="E136" s="188" t="s">
        <v>1993</v>
      </c>
      <c r="F136" s="189" t="s">
        <v>1953</v>
      </c>
      <c r="G136" s="190">
        <v>2.4</v>
      </c>
      <c r="H136" s="191">
        <v>240</v>
      </c>
      <c r="I136" s="191">
        <v>237.6</v>
      </c>
      <c r="J136" s="191">
        <f t="shared" si="1"/>
        <v>2.4000000000000057</v>
      </c>
    </row>
    <row r="137" spans="1:10" x14ac:dyDescent="0.3">
      <c r="A137" s="188" t="s">
        <v>1971</v>
      </c>
      <c r="B137" s="188" t="s">
        <v>1972</v>
      </c>
      <c r="C137" s="189">
        <v>1120</v>
      </c>
      <c r="D137" s="188" t="s">
        <v>1987</v>
      </c>
      <c r="E137" s="188" t="s">
        <v>1997</v>
      </c>
      <c r="F137" s="192" t="s">
        <v>1956</v>
      </c>
      <c r="G137" s="190">
        <v>12</v>
      </c>
      <c r="H137" s="191">
        <v>1200</v>
      </c>
      <c r="I137" s="191">
        <v>1188</v>
      </c>
      <c r="J137" s="191">
        <f t="shared" si="1"/>
        <v>12</v>
      </c>
    </row>
    <row r="138" spans="1:10" x14ac:dyDescent="0.3">
      <c r="A138" s="188" t="s">
        <v>1874</v>
      </c>
      <c r="B138" s="188" t="s">
        <v>1972</v>
      </c>
      <c r="C138" s="189" t="s">
        <v>1959</v>
      </c>
      <c r="D138" s="188" t="s">
        <v>1987</v>
      </c>
      <c r="E138" s="188" t="s">
        <v>1994</v>
      </c>
      <c r="F138" s="192" t="s">
        <v>1956</v>
      </c>
      <c r="G138" s="190">
        <v>6</v>
      </c>
      <c r="H138" s="191">
        <v>600</v>
      </c>
      <c r="I138" s="191">
        <v>594</v>
      </c>
      <c r="J138" s="191">
        <f t="shared" si="1"/>
        <v>6</v>
      </c>
    </row>
    <row r="139" spans="1:10" x14ac:dyDescent="0.3">
      <c r="A139" s="188" t="s">
        <v>1874</v>
      </c>
      <c r="B139" s="188" t="s">
        <v>1958</v>
      </c>
      <c r="C139" s="189">
        <v>1120</v>
      </c>
      <c r="D139" s="188" t="s">
        <v>1987</v>
      </c>
      <c r="E139" s="188" t="s">
        <v>1995</v>
      </c>
      <c r="F139" s="192" t="s">
        <v>1956</v>
      </c>
      <c r="G139" s="190">
        <v>3.7</v>
      </c>
      <c r="H139" s="191">
        <v>370</v>
      </c>
      <c r="I139" s="191">
        <v>499.5</v>
      </c>
      <c r="J139" s="191">
        <f t="shared" si="1"/>
        <v>-129.5</v>
      </c>
    </row>
    <row r="140" spans="1:10" x14ac:dyDescent="0.3">
      <c r="A140" s="188" t="s">
        <v>1874</v>
      </c>
      <c r="B140" s="188" t="s">
        <v>1958</v>
      </c>
      <c r="C140" s="189">
        <v>1065</v>
      </c>
      <c r="D140" s="188" t="s">
        <v>1987</v>
      </c>
      <c r="E140" s="188" t="s">
        <v>1997</v>
      </c>
      <c r="F140" s="192" t="s">
        <v>1956</v>
      </c>
      <c r="G140" s="190">
        <v>16</v>
      </c>
      <c r="H140" s="191">
        <v>1600</v>
      </c>
      <c r="I140" s="191">
        <v>2160</v>
      </c>
      <c r="J140" s="191">
        <f t="shared" si="1"/>
        <v>-560</v>
      </c>
    </row>
    <row r="141" spans="1:10" x14ac:dyDescent="0.3">
      <c r="A141" s="188" t="s">
        <v>1998</v>
      </c>
      <c r="B141" s="188" t="s">
        <v>1958</v>
      </c>
      <c r="C141" s="189">
        <v>1040</v>
      </c>
      <c r="D141" s="188" t="s">
        <v>1987</v>
      </c>
      <c r="E141" s="188" t="s">
        <v>1993</v>
      </c>
      <c r="F141" s="189" t="s">
        <v>1953</v>
      </c>
      <c r="G141" s="190">
        <v>9</v>
      </c>
      <c r="H141" s="191">
        <v>900</v>
      </c>
      <c r="I141" s="191">
        <v>1215</v>
      </c>
      <c r="J141" s="191">
        <f t="shared" si="1"/>
        <v>-315</v>
      </c>
    </row>
    <row r="142" spans="1:10" x14ac:dyDescent="0.3">
      <c r="A142" s="188" t="s">
        <v>1998</v>
      </c>
      <c r="B142" s="188" t="s">
        <v>1972</v>
      </c>
      <c r="C142" s="189">
        <v>1120</v>
      </c>
      <c r="D142" s="188" t="s">
        <v>1987</v>
      </c>
      <c r="E142" s="188" t="s">
        <v>1991</v>
      </c>
      <c r="F142" s="192" t="s">
        <v>1956</v>
      </c>
      <c r="G142" s="190">
        <v>5</v>
      </c>
      <c r="H142" s="191">
        <v>500</v>
      </c>
      <c r="I142" s="191">
        <v>495</v>
      </c>
      <c r="J142" s="191">
        <f t="shared" si="1"/>
        <v>5</v>
      </c>
    </row>
    <row r="143" spans="1:10" x14ac:dyDescent="0.3">
      <c r="A143" s="188" t="s">
        <v>1974</v>
      </c>
      <c r="B143" s="188" t="s">
        <v>1958</v>
      </c>
      <c r="C143" s="189">
        <v>1120</v>
      </c>
      <c r="D143" s="188" t="s">
        <v>1987</v>
      </c>
      <c r="E143" s="188" t="s">
        <v>1999</v>
      </c>
      <c r="F143" s="192" t="s">
        <v>1956</v>
      </c>
      <c r="G143" s="190">
        <v>6</v>
      </c>
      <c r="H143" s="191">
        <v>750</v>
      </c>
      <c r="I143" s="191">
        <v>1012.5</v>
      </c>
      <c r="J143" s="191">
        <f t="shared" si="1"/>
        <v>-262.5</v>
      </c>
    </row>
    <row r="144" spans="1:10" x14ac:dyDescent="0.3">
      <c r="A144" s="188" t="s">
        <v>1974</v>
      </c>
      <c r="B144" s="188" t="s">
        <v>1972</v>
      </c>
      <c r="C144" s="189" t="s">
        <v>1959</v>
      </c>
      <c r="D144" s="188" t="s">
        <v>1987</v>
      </c>
      <c r="E144" s="188" t="s">
        <v>1999</v>
      </c>
      <c r="F144" s="192" t="s">
        <v>1956</v>
      </c>
      <c r="G144" s="190">
        <v>5</v>
      </c>
      <c r="H144" s="191">
        <v>625</v>
      </c>
      <c r="I144" s="191">
        <v>618.75</v>
      </c>
      <c r="J144" s="191">
        <f t="shared" si="1"/>
        <v>6.25</v>
      </c>
    </row>
    <row r="145" spans="1:10" x14ac:dyDescent="0.3">
      <c r="A145" s="188" t="s">
        <v>1974</v>
      </c>
      <c r="B145" s="188" t="s">
        <v>1958</v>
      </c>
      <c r="C145" s="189">
        <v>1040</v>
      </c>
      <c r="D145" s="188" t="s">
        <v>1987</v>
      </c>
      <c r="E145" s="188" t="s">
        <v>2000</v>
      </c>
      <c r="F145" s="189" t="s">
        <v>1953</v>
      </c>
      <c r="G145" s="190">
        <v>17</v>
      </c>
      <c r="H145" s="191">
        <v>2125</v>
      </c>
      <c r="I145" s="191">
        <v>2868.75</v>
      </c>
      <c r="J145" s="191">
        <f t="shared" si="1"/>
        <v>-743.75</v>
      </c>
    </row>
    <row r="146" spans="1:10" x14ac:dyDescent="0.3">
      <c r="A146" s="188" t="s">
        <v>1974</v>
      </c>
      <c r="B146" s="188" t="s">
        <v>1972</v>
      </c>
      <c r="C146" s="189">
        <v>1120</v>
      </c>
      <c r="D146" s="188" t="s">
        <v>1987</v>
      </c>
      <c r="E146" s="188" t="s">
        <v>2001</v>
      </c>
      <c r="F146" s="192" t="s">
        <v>1956</v>
      </c>
      <c r="G146" s="190">
        <v>12.9</v>
      </c>
      <c r="H146" s="191">
        <v>1612.5</v>
      </c>
      <c r="I146" s="191">
        <v>1596.375</v>
      </c>
      <c r="J146" s="191">
        <f t="shared" si="1"/>
        <v>16.125</v>
      </c>
    </row>
    <row r="147" spans="1:10" x14ac:dyDescent="0.3">
      <c r="A147" s="188" t="s">
        <v>1974</v>
      </c>
      <c r="B147" s="188" t="s">
        <v>1958</v>
      </c>
      <c r="C147" s="189">
        <v>1120</v>
      </c>
      <c r="D147" s="188" t="s">
        <v>1987</v>
      </c>
      <c r="E147" s="188" t="s">
        <v>2001</v>
      </c>
      <c r="F147" s="192" t="s">
        <v>1956</v>
      </c>
      <c r="G147" s="190">
        <v>16</v>
      </c>
      <c r="H147" s="191">
        <v>2000</v>
      </c>
      <c r="I147" s="191">
        <v>2700</v>
      </c>
      <c r="J147" s="191">
        <f t="shared" si="1"/>
        <v>-700</v>
      </c>
    </row>
    <row r="148" spans="1:10" x14ac:dyDescent="0.3">
      <c r="A148" s="188" t="s">
        <v>1974</v>
      </c>
      <c r="B148" s="188" t="s">
        <v>1958</v>
      </c>
      <c r="C148" s="189">
        <v>1040</v>
      </c>
      <c r="D148" s="188" t="s">
        <v>1987</v>
      </c>
      <c r="E148" s="188" t="s">
        <v>2002</v>
      </c>
      <c r="F148" s="189" t="s">
        <v>1953</v>
      </c>
      <c r="G148" s="190">
        <v>14</v>
      </c>
      <c r="H148" s="191">
        <v>1750</v>
      </c>
      <c r="I148" s="191">
        <v>2362.5</v>
      </c>
      <c r="J148" s="191">
        <f t="shared" si="1"/>
        <v>-612.5</v>
      </c>
    </row>
    <row r="149" spans="1:10" x14ac:dyDescent="0.3">
      <c r="A149" s="188" t="s">
        <v>1974</v>
      </c>
      <c r="B149" s="188" t="s">
        <v>1972</v>
      </c>
      <c r="C149" s="189">
        <v>1040</v>
      </c>
      <c r="D149" s="188" t="s">
        <v>1987</v>
      </c>
      <c r="E149" s="188" t="s">
        <v>2002</v>
      </c>
      <c r="F149" s="189" t="s">
        <v>1953</v>
      </c>
      <c r="G149" s="190">
        <v>5.5</v>
      </c>
      <c r="H149" s="191">
        <v>687.5</v>
      </c>
      <c r="I149" s="191">
        <v>680.625</v>
      </c>
      <c r="J149" s="191">
        <f t="shared" si="1"/>
        <v>6.875</v>
      </c>
    </row>
    <row r="150" spans="1:10" x14ac:dyDescent="0.3">
      <c r="A150" s="188" t="s">
        <v>1983</v>
      </c>
      <c r="B150" s="188" t="s">
        <v>1958</v>
      </c>
      <c r="C150" s="189">
        <v>1040</v>
      </c>
      <c r="D150" s="188" t="s">
        <v>1987</v>
      </c>
      <c r="E150" s="188" t="s">
        <v>1996</v>
      </c>
      <c r="F150" s="189" t="s">
        <v>1953</v>
      </c>
      <c r="G150" s="190">
        <v>2.9</v>
      </c>
      <c r="H150" s="191">
        <v>290</v>
      </c>
      <c r="I150" s="191">
        <v>391.5</v>
      </c>
      <c r="J150" s="191">
        <f t="shared" si="1"/>
        <v>-101.5</v>
      </c>
    </row>
    <row r="151" spans="1:10" x14ac:dyDescent="0.3">
      <c r="A151" s="188" t="s">
        <v>1984</v>
      </c>
      <c r="B151" s="188" t="s">
        <v>1958</v>
      </c>
      <c r="C151" s="189" t="s">
        <v>1959</v>
      </c>
      <c r="D151" s="188" t="s">
        <v>1987</v>
      </c>
      <c r="E151" s="188" t="s">
        <v>1988</v>
      </c>
      <c r="F151" s="189" t="s">
        <v>1953</v>
      </c>
      <c r="G151" s="190">
        <v>5.5</v>
      </c>
      <c r="H151" s="191">
        <v>412.5</v>
      </c>
      <c r="I151" s="191">
        <v>556.875</v>
      </c>
      <c r="J151" s="191">
        <f t="shared" si="1"/>
        <v>-144.375</v>
      </c>
    </row>
    <row r="152" spans="1:10" x14ac:dyDescent="0.3">
      <c r="A152" s="188" t="s">
        <v>1984</v>
      </c>
      <c r="B152" s="188" t="s">
        <v>1958</v>
      </c>
      <c r="C152" s="189">
        <v>1040</v>
      </c>
      <c r="D152" s="188" t="s">
        <v>1987</v>
      </c>
      <c r="E152" s="188" t="s">
        <v>1989</v>
      </c>
      <c r="F152" s="189" t="s">
        <v>1953</v>
      </c>
      <c r="G152" s="190">
        <v>2.4</v>
      </c>
      <c r="H152" s="191">
        <v>180</v>
      </c>
      <c r="I152" s="191">
        <v>243</v>
      </c>
      <c r="J152" s="191">
        <f t="shared" si="1"/>
        <v>-63</v>
      </c>
    </row>
    <row r="153" spans="1:10" x14ac:dyDescent="0.3">
      <c r="A153" s="188" t="s">
        <v>1984</v>
      </c>
      <c r="B153" s="188" t="s">
        <v>1972</v>
      </c>
      <c r="C153" s="189">
        <v>1120</v>
      </c>
      <c r="D153" s="188" t="s">
        <v>1987</v>
      </c>
      <c r="E153" s="188" t="s">
        <v>1990</v>
      </c>
      <c r="F153" s="192" t="s">
        <v>1956</v>
      </c>
      <c r="G153" s="190">
        <v>19</v>
      </c>
      <c r="H153" s="191">
        <v>1425</v>
      </c>
      <c r="I153" s="191">
        <v>1410.75</v>
      </c>
      <c r="J153" s="191">
        <f t="shared" si="1"/>
        <v>14.25</v>
      </c>
    </row>
    <row r="154" spans="1:10" x14ac:dyDescent="0.3">
      <c r="A154" s="188" t="s">
        <v>1566</v>
      </c>
      <c r="B154" s="188" t="s">
        <v>1950</v>
      </c>
      <c r="C154" s="189">
        <v>1040</v>
      </c>
      <c r="D154" s="188" t="s">
        <v>1987</v>
      </c>
      <c r="E154" s="188" t="s">
        <v>1989</v>
      </c>
      <c r="F154" s="189" t="s">
        <v>1953</v>
      </c>
      <c r="G154" s="190">
        <v>6</v>
      </c>
      <c r="H154" s="191">
        <v>450</v>
      </c>
      <c r="I154" s="191">
        <v>414</v>
      </c>
      <c r="J154" s="191">
        <f t="shared" si="1"/>
        <v>36</v>
      </c>
    </row>
    <row r="155" spans="1:10" x14ac:dyDescent="0.3">
      <c r="A155" s="188" t="s">
        <v>1566</v>
      </c>
      <c r="B155" s="188" t="s">
        <v>1954</v>
      </c>
      <c r="C155" s="189">
        <v>1120</v>
      </c>
      <c r="D155" s="188" t="s">
        <v>1987</v>
      </c>
      <c r="E155" s="188" t="s">
        <v>1990</v>
      </c>
      <c r="F155" s="192" t="s">
        <v>1956</v>
      </c>
      <c r="G155" s="190">
        <v>10.199999999999999</v>
      </c>
      <c r="H155" s="191">
        <v>765</v>
      </c>
      <c r="I155" s="191">
        <v>856.8</v>
      </c>
      <c r="J155" s="191">
        <f t="shared" si="1"/>
        <v>-91.799999999999955</v>
      </c>
    </row>
    <row r="156" spans="1:10" x14ac:dyDescent="0.3">
      <c r="A156" s="188" t="s">
        <v>943</v>
      </c>
      <c r="B156" s="188" t="s">
        <v>1958</v>
      </c>
      <c r="C156" s="189">
        <v>1120</v>
      </c>
      <c r="D156" s="188" t="s">
        <v>1987</v>
      </c>
      <c r="E156" s="188" t="s">
        <v>1999</v>
      </c>
      <c r="F156" s="192" t="s">
        <v>1956</v>
      </c>
      <c r="G156" s="190">
        <v>2.4</v>
      </c>
      <c r="H156" s="191">
        <v>300</v>
      </c>
      <c r="I156" s="191">
        <v>336</v>
      </c>
      <c r="J156" s="191">
        <f t="shared" si="1"/>
        <v>-36</v>
      </c>
    </row>
    <row r="157" spans="1:10" x14ac:dyDescent="0.3">
      <c r="A157" s="188" t="s">
        <v>943</v>
      </c>
      <c r="B157" s="188" t="s">
        <v>1950</v>
      </c>
      <c r="C157" s="189">
        <v>1040</v>
      </c>
      <c r="D157" s="188" t="s">
        <v>1987</v>
      </c>
      <c r="E157" s="188" t="s">
        <v>2000</v>
      </c>
      <c r="F157" s="189" t="s">
        <v>1953</v>
      </c>
      <c r="G157" s="190">
        <v>19</v>
      </c>
      <c r="H157" s="191">
        <v>2375</v>
      </c>
      <c r="I157" s="191">
        <v>2185</v>
      </c>
      <c r="J157" s="191">
        <f t="shared" si="1"/>
        <v>190</v>
      </c>
    </row>
    <row r="158" spans="1:10" x14ac:dyDescent="0.3">
      <c r="A158" s="188" t="s">
        <v>943</v>
      </c>
      <c r="B158" s="188" t="s">
        <v>1954</v>
      </c>
      <c r="C158" s="189">
        <v>1040</v>
      </c>
      <c r="D158" s="188" t="s">
        <v>1987</v>
      </c>
      <c r="E158" s="188" t="s">
        <v>2000</v>
      </c>
      <c r="F158" s="189" t="s">
        <v>1953</v>
      </c>
      <c r="G158" s="190">
        <v>8</v>
      </c>
      <c r="H158" s="191">
        <v>1000</v>
      </c>
      <c r="I158" s="191">
        <v>1120</v>
      </c>
      <c r="J158" s="191">
        <f t="shared" si="1"/>
        <v>-120</v>
      </c>
    </row>
    <row r="159" spans="1:10" x14ac:dyDescent="0.3">
      <c r="A159" s="188" t="s">
        <v>943</v>
      </c>
      <c r="B159" s="188" t="s">
        <v>1950</v>
      </c>
      <c r="C159" s="189">
        <v>1065</v>
      </c>
      <c r="D159" s="188" t="s">
        <v>1987</v>
      </c>
      <c r="E159" s="188" t="s">
        <v>2001</v>
      </c>
      <c r="F159" s="192" t="s">
        <v>1956</v>
      </c>
      <c r="G159" s="190">
        <v>22</v>
      </c>
      <c r="H159" s="191">
        <v>2750</v>
      </c>
      <c r="I159" s="191">
        <v>2530</v>
      </c>
      <c r="J159" s="191">
        <f t="shared" si="1"/>
        <v>220</v>
      </c>
    </row>
    <row r="160" spans="1:10" x14ac:dyDescent="0.3">
      <c r="A160" s="188" t="s">
        <v>943</v>
      </c>
      <c r="B160" s="188" t="s">
        <v>1954</v>
      </c>
      <c r="C160" s="189">
        <v>1040</v>
      </c>
      <c r="D160" s="188" t="s">
        <v>1987</v>
      </c>
      <c r="E160" s="188" t="s">
        <v>2002</v>
      </c>
      <c r="F160" s="189" t="s">
        <v>1953</v>
      </c>
      <c r="G160" s="190">
        <v>6</v>
      </c>
      <c r="H160" s="191">
        <v>750</v>
      </c>
      <c r="I160" s="191">
        <v>840</v>
      </c>
      <c r="J160" s="191">
        <f t="shared" si="1"/>
        <v>-90</v>
      </c>
    </row>
    <row r="161" spans="1:10" x14ac:dyDescent="0.3">
      <c r="A161" s="188" t="s">
        <v>1794</v>
      </c>
      <c r="B161" s="188" t="s">
        <v>1972</v>
      </c>
      <c r="C161" s="189">
        <v>1120</v>
      </c>
      <c r="D161" s="188" t="s">
        <v>1987</v>
      </c>
      <c r="E161" s="188" t="s">
        <v>1995</v>
      </c>
      <c r="F161" s="192" t="s">
        <v>1956</v>
      </c>
      <c r="G161" s="190">
        <v>6</v>
      </c>
      <c r="H161" s="191">
        <v>600</v>
      </c>
      <c r="I161" s="191">
        <v>594</v>
      </c>
      <c r="J161" s="191">
        <f t="shared" si="1"/>
        <v>6</v>
      </c>
    </row>
    <row r="162" spans="1:10" x14ac:dyDescent="0.3">
      <c r="A162" s="188" t="s">
        <v>1949</v>
      </c>
      <c r="B162" s="188" t="s">
        <v>1950</v>
      </c>
      <c r="C162" s="189">
        <v>1065</v>
      </c>
      <c r="D162" s="188" t="s">
        <v>1960</v>
      </c>
      <c r="E162" s="188" t="s">
        <v>2003</v>
      </c>
      <c r="F162" s="192" t="s">
        <v>1956</v>
      </c>
      <c r="G162" s="190">
        <v>2.4</v>
      </c>
      <c r="H162" s="191">
        <v>180</v>
      </c>
      <c r="I162" s="191">
        <v>165.6</v>
      </c>
      <c r="J162" s="191">
        <f t="shared" si="1"/>
        <v>14.400000000000006</v>
      </c>
    </row>
    <row r="163" spans="1:10" x14ac:dyDescent="0.3">
      <c r="A163" s="188" t="s">
        <v>1949</v>
      </c>
      <c r="B163" s="188" t="s">
        <v>1954</v>
      </c>
      <c r="C163" s="189">
        <v>1040</v>
      </c>
      <c r="D163" s="188" t="s">
        <v>1960</v>
      </c>
      <c r="E163" s="188" t="s">
        <v>2004</v>
      </c>
      <c r="F163" s="189" t="s">
        <v>1953</v>
      </c>
      <c r="G163" s="190">
        <v>12.9</v>
      </c>
      <c r="H163" s="191">
        <v>967.5</v>
      </c>
      <c r="I163" s="191">
        <v>1083.5999999999999</v>
      </c>
      <c r="J163" s="191">
        <f t="shared" si="1"/>
        <v>-116.09999999999991</v>
      </c>
    </row>
    <row r="164" spans="1:10" x14ac:dyDescent="0.3">
      <c r="A164" s="188" t="s">
        <v>1949</v>
      </c>
      <c r="B164" s="188" t="s">
        <v>1950</v>
      </c>
      <c r="C164" s="189" t="s">
        <v>1973</v>
      </c>
      <c r="D164" s="188" t="s">
        <v>1960</v>
      </c>
      <c r="E164" s="192" t="s">
        <v>2005</v>
      </c>
      <c r="F164" s="192" t="s">
        <v>1956</v>
      </c>
      <c r="G164" s="190">
        <v>14</v>
      </c>
      <c r="H164" s="191">
        <v>1050</v>
      </c>
      <c r="I164" s="191">
        <v>966</v>
      </c>
      <c r="J164" s="191">
        <f t="shared" si="1"/>
        <v>84</v>
      </c>
    </row>
    <row r="165" spans="1:10" x14ac:dyDescent="0.3">
      <c r="A165" s="188" t="s">
        <v>1949</v>
      </c>
      <c r="B165" s="188" t="s">
        <v>1954</v>
      </c>
      <c r="C165" s="189">
        <v>1120</v>
      </c>
      <c r="D165" s="188" t="s">
        <v>1960</v>
      </c>
      <c r="E165" s="192" t="s">
        <v>2006</v>
      </c>
      <c r="F165" s="192" t="s">
        <v>1956</v>
      </c>
      <c r="G165" s="190">
        <v>4.5</v>
      </c>
      <c r="H165" s="191">
        <v>337.5</v>
      </c>
      <c r="I165" s="191">
        <v>378</v>
      </c>
      <c r="J165" s="191">
        <f t="shared" si="1"/>
        <v>-40.5</v>
      </c>
    </row>
    <row r="166" spans="1:10" x14ac:dyDescent="0.3">
      <c r="A166" s="188" t="s">
        <v>1797</v>
      </c>
      <c r="B166" s="188" t="s">
        <v>1954</v>
      </c>
      <c r="C166" s="189">
        <v>1040</v>
      </c>
      <c r="D166" s="188" t="s">
        <v>1960</v>
      </c>
      <c r="E166" s="188" t="s">
        <v>2007</v>
      </c>
      <c r="F166" s="189" t="s">
        <v>1953</v>
      </c>
      <c r="G166" s="190">
        <v>3.7</v>
      </c>
      <c r="H166" s="191">
        <v>277.5</v>
      </c>
      <c r="I166" s="191">
        <v>310.8</v>
      </c>
      <c r="J166" s="191">
        <f t="shared" si="1"/>
        <v>-33.300000000000011</v>
      </c>
    </row>
    <row r="167" spans="1:10" x14ac:dyDescent="0.3">
      <c r="A167" s="188" t="s">
        <v>1962</v>
      </c>
      <c r="B167" s="188" t="s">
        <v>1950</v>
      </c>
      <c r="C167" s="189">
        <v>1120</v>
      </c>
      <c r="D167" s="188" t="s">
        <v>1960</v>
      </c>
      <c r="E167" s="188" t="s">
        <v>2008</v>
      </c>
      <c r="F167" s="192" t="s">
        <v>1956</v>
      </c>
      <c r="G167" s="190">
        <v>4</v>
      </c>
      <c r="H167" s="191">
        <v>300</v>
      </c>
      <c r="I167" s="191">
        <v>276</v>
      </c>
      <c r="J167" s="191">
        <f t="shared" si="1"/>
        <v>24</v>
      </c>
    </row>
    <row r="168" spans="1:10" x14ac:dyDescent="0.3">
      <c r="A168" s="188" t="s">
        <v>1962</v>
      </c>
      <c r="B168" s="188" t="s">
        <v>1950</v>
      </c>
      <c r="C168" s="189">
        <v>1040</v>
      </c>
      <c r="D168" s="188" t="s">
        <v>1960</v>
      </c>
      <c r="E168" s="192" t="s">
        <v>2006</v>
      </c>
      <c r="F168" s="192" t="s">
        <v>1956</v>
      </c>
      <c r="G168" s="190">
        <v>3.5</v>
      </c>
      <c r="H168" s="191">
        <v>262.5</v>
      </c>
      <c r="I168" s="191">
        <v>241.5</v>
      </c>
      <c r="J168" s="191">
        <f t="shared" si="1"/>
        <v>21</v>
      </c>
    </row>
    <row r="169" spans="1:10" x14ac:dyDescent="0.3">
      <c r="A169" s="188" t="s">
        <v>1964</v>
      </c>
      <c r="B169" s="188" t="s">
        <v>1950</v>
      </c>
      <c r="C169" s="189">
        <v>1040</v>
      </c>
      <c r="D169" s="188" t="s">
        <v>1960</v>
      </c>
      <c r="E169" s="192" t="s">
        <v>2009</v>
      </c>
      <c r="F169" s="189" t="s">
        <v>1953</v>
      </c>
      <c r="G169" s="190">
        <v>6</v>
      </c>
      <c r="H169" s="191">
        <v>600</v>
      </c>
      <c r="I169" s="191">
        <v>552</v>
      </c>
      <c r="J169" s="191">
        <f t="shared" si="1"/>
        <v>48</v>
      </c>
    </row>
    <row r="170" spans="1:10" x14ac:dyDescent="0.3">
      <c r="A170" s="188" t="s">
        <v>1964</v>
      </c>
      <c r="B170" s="188" t="s">
        <v>1950</v>
      </c>
      <c r="C170" s="189">
        <v>1065</v>
      </c>
      <c r="D170" s="188" t="s">
        <v>1960</v>
      </c>
      <c r="E170" s="188" t="s">
        <v>2010</v>
      </c>
      <c r="F170" s="192" t="s">
        <v>1956</v>
      </c>
      <c r="G170" s="190">
        <v>2</v>
      </c>
      <c r="H170" s="191">
        <v>200</v>
      </c>
      <c r="I170" s="191">
        <v>184</v>
      </c>
      <c r="J170" s="191">
        <f t="shared" si="1"/>
        <v>16</v>
      </c>
    </row>
    <row r="171" spans="1:10" x14ac:dyDescent="0.3">
      <c r="A171" s="188" t="s">
        <v>1964</v>
      </c>
      <c r="B171" s="188" t="s">
        <v>1954</v>
      </c>
      <c r="C171" s="189">
        <v>1120</v>
      </c>
      <c r="D171" s="188" t="s">
        <v>1960</v>
      </c>
      <c r="E171" s="188" t="s">
        <v>2010</v>
      </c>
      <c r="F171" s="192" t="s">
        <v>1956</v>
      </c>
      <c r="G171" s="190">
        <v>10.199999999999999</v>
      </c>
      <c r="H171" s="191">
        <v>1020</v>
      </c>
      <c r="I171" s="191">
        <v>1142.4000000000001</v>
      </c>
      <c r="J171" s="191">
        <f t="shared" si="1"/>
        <v>-122.40000000000009</v>
      </c>
    </row>
    <row r="172" spans="1:10" x14ac:dyDescent="0.3">
      <c r="A172" s="188" t="s">
        <v>1964</v>
      </c>
      <c r="B172" s="188" t="s">
        <v>1950</v>
      </c>
      <c r="C172" s="189" t="s">
        <v>1959</v>
      </c>
      <c r="D172" s="188" t="s">
        <v>1960</v>
      </c>
      <c r="E172" s="188" t="s">
        <v>2011</v>
      </c>
      <c r="F172" s="192" t="s">
        <v>1956</v>
      </c>
      <c r="G172" s="190">
        <v>2.9</v>
      </c>
      <c r="H172" s="191">
        <v>290</v>
      </c>
      <c r="I172" s="191">
        <v>266.8</v>
      </c>
      <c r="J172" s="191">
        <f t="shared" si="1"/>
        <v>23.199999999999989</v>
      </c>
    </row>
    <row r="173" spans="1:10" x14ac:dyDescent="0.3">
      <c r="A173" s="188" t="s">
        <v>1964</v>
      </c>
      <c r="B173" s="188" t="s">
        <v>1954</v>
      </c>
      <c r="C173" s="189">
        <v>1120</v>
      </c>
      <c r="D173" s="188" t="s">
        <v>1960</v>
      </c>
      <c r="E173" s="188" t="s">
        <v>2011</v>
      </c>
      <c r="F173" s="192" t="s">
        <v>1956</v>
      </c>
      <c r="G173" s="190">
        <v>22</v>
      </c>
      <c r="H173" s="191">
        <v>2200</v>
      </c>
      <c r="I173" s="191">
        <v>2464</v>
      </c>
      <c r="J173" s="191">
        <f t="shared" si="1"/>
        <v>-264</v>
      </c>
    </row>
    <row r="174" spans="1:10" x14ac:dyDescent="0.3">
      <c r="A174" s="188" t="s">
        <v>1964</v>
      </c>
      <c r="B174" s="188" t="s">
        <v>1954</v>
      </c>
      <c r="C174" s="189" t="s">
        <v>1959</v>
      </c>
      <c r="D174" s="188" t="s">
        <v>1960</v>
      </c>
      <c r="E174" s="192" t="s">
        <v>2012</v>
      </c>
      <c r="F174" s="189" t="s">
        <v>1953</v>
      </c>
      <c r="G174" s="190">
        <v>12</v>
      </c>
      <c r="H174" s="191">
        <v>1200</v>
      </c>
      <c r="I174" s="191">
        <v>1344</v>
      </c>
      <c r="J174" s="191">
        <f t="shared" si="1"/>
        <v>-144</v>
      </c>
    </row>
    <row r="175" spans="1:10" x14ac:dyDescent="0.3">
      <c r="A175" s="188" t="s">
        <v>1964</v>
      </c>
      <c r="B175" s="188" t="s">
        <v>1950</v>
      </c>
      <c r="C175" s="189" t="s">
        <v>1973</v>
      </c>
      <c r="D175" s="188" t="s">
        <v>1960</v>
      </c>
      <c r="E175" s="192" t="s">
        <v>2012</v>
      </c>
      <c r="F175" s="189" t="s">
        <v>1953</v>
      </c>
      <c r="G175" s="190">
        <v>6</v>
      </c>
      <c r="H175" s="191">
        <v>600</v>
      </c>
      <c r="I175" s="191">
        <v>552</v>
      </c>
      <c r="J175" s="191">
        <f t="shared" si="1"/>
        <v>48</v>
      </c>
    </row>
    <row r="176" spans="1:10" x14ac:dyDescent="0.3">
      <c r="A176" s="188" t="s">
        <v>1720</v>
      </c>
      <c r="B176" s="188" t="s">
        <v>1954</v>
      </c>
      <c r="C176" s="189">
        <v>1065</v>
      </c>
      <c r="D176" s="188" t="s">
        <v>1960</v>
      </c>
      <c r="E176" s="188" t="s">
        <v>2003</v>
      </c>
      <c r="F176" s="192" t="s">
        <v>1956</v>
      </c>
      <c r="G176" s="190">
        <v>9</v>
      </c>
      <c r="H176" s="191">
        <v>675</v>
      </c>
      <c r="I176" s="191">
        <v>756</v>
      </c>
      <c r="J176" s="191">
        <f t="shared" si="1"/>
        <v>-81</v>
      </c>
    </row>
    <row r="177" spans="1:10" x14ac:dyDescent="0.3">
      <c r="A177" s="188" t="s">
        <v>1720</v>
      </c>
      <c r="B177" s="188" t="s">
        <v>1950</v>
      </c>
      <c r="C177" s="189">
        <v>1040</v>
      </c>
      <c r="D177" s="188" t="s">
        <v>1960</v>
      </c>
      <c r="E177" s="188" t="s">
        <v>2004</v>
      </c>
      <c r="F177" s="189" t="s">
        <v>1953</v>
      </c>
      <c r="G177" s="190">
        <v>16</v>
      </c>
      <c r="H177" s="191">
        <v>1200</v>
      </c>
      <c r="I177" s="191">
        <v>1104</v>
      </c>
      <c r="J177" s="191">
        <f t="shared" si="1"/>
        <v>96</v>
      </c>
    </row>
    <row r="178" spans="1:10" x14ac:dyDescent="0.3">
      <c r="A178" s="188" t="s">
        <v>1720</v>
      </c>
      <c r="B178" s="188" t="s">
        <v>1950</v>
      </c>
      <c r="C178" s="189">
        <v>1040</v>
      </c>
      <c r="D178" s="188" t="s">
        <v>1960</v>
      </c>
      <c r="E178" s="188" t="s">
        <v>2013</v>
      </c>
      <c r="F178" s="189" t="s">
        <v>1953</v>
      </c>
      <c r="G178" s="190">
        <v>5.5</v>
      </c>
      <c r="H178" s="191">
        <v>412.5</v>
      </c>
      <c r="I178" s="191">
        <v>379.5</v>
      </c>
      <c r="J178" s="191">
        <f t="shared" si="1"/>
        <v>33</v>
      </c>
    </row>
    <row r="179" spans="1:10" x14ac:dyDescent="0.3">
      <c r="A179" s="188" t="s">
        <v>1720</v>
      </c>
      <c r="B179" s="188" t="s">
        <v>1950</v>
      </c>
      <c r="C179" s="189">
        <v>1040</v>
      </c>
      <c r="D179" s="188" t="s">
        <v>1960</v>
      </c>
      <c r="E179" s="188" t="s">
        <v>2014</v>
      </c>
      <c r="F179" s="189" t="s">
        <v>1953</v>
      </c>
      <c r="G179" s="190">
        <v>8</v>
      </c>
      <c r="H179" s="191">
        <v>600</v>
      </c>
      <c r="I179" s="191">
        <v>552</v>
      </c>
      <c r="J179" s="191">
        <f t="shared" si="1"/>
        <v>48</v>
      </c>
    </row>
    <row r="180" spans="1:10" x14ac:dyDescent="0.3">
      <c r="A180" s="188" t="s">
        <v>1998</v>
      </c>
      <c r="B180" s="188" t="s">
        <v>1958</v>
      </c>
      <c r="C180" s="189">
        <v>1120</v>
      </c>
      <c r="D180" s="188" t="s">
        <v>1960</v>
      </c>
      <c r="E180" s="188" t="s">
        <v>2010</v>
      </c>
      <c r="F180" s="192" t="s">
        <v>1956</v>
      </c>
      <c r="G180" s="190">
        <v>8.4</v>
      </c>
      <c r="H180" s="191">
        <v>840</v>
      </c>
      <c r="I180" s="191">
        <v>1134</v>
      </c>
      <c r="J180" s="191">
        <f t="shared" si="1"/>
        <v>-294</v>
      </c>
    </row>
    <row r="181" spans="1:10" x14ac:dyDescent="0.3">
      <c r="A181" s="188" t="s">
        <v>1998</v>
      </c>
      <c r="B181" s="188" t="s">
        <v>1972</v>
      </c>
      <c r="C181" s="189" t="s">
        <v>1973</v>
      </c>
      <c r="D181" s="188" t="s">
        <v>1960</v>
      </c>
      <c r="E181" s="192" t="s">
        <v>2012</v>
      </c>
      <c r="F181" s="189" t="s">
        <v>1953</v>
      </c>
      <c r="G181" s="190">
        <v>14</v>
      </c>
      <c r="H181" s="191">
        <v>1400</v>
      </c>
      <c r="I181" s="191">
        <v>1386</v>
      </c>
      <c r="J181" s="191">
        <f t="shared" si="1"/>
        <v>14</v>
      </c>
    </row>
    <row r="182" spans="1:10" x14ac:dyDescent="0.3">
      <c r="A182" s="188" t="s">
        <v>1829</v>
      </c>
      <c r="B182" s="188" t="s">
        <v>1972</v>
      </c>
      <c r="C182" s="189">
        <v>1065</v>
      </c>
      <c r="D182" s="188" t="s">
        <v>1960</v>
      </c>
      <c r="E182" s="192" t="s">
        <v>2009</v>
      </c>
      <c r="F182" s="189" t="s">
        <v>1953</v>
      </c>
      <c r="G182" s="190">
        <v>3.5</v>
      </c>
      <c r="H182" s="191">
        <v>350</v>
      </c>
      <c r="I182" s="191">
        <v>346.5</v>
      </c>
      <c r="J182" s="191">
        <f t="shared" si="1"/>
        <v>3.5</v>
      </c>
    </row>
    <row r="183" spans="1:10" x14ac:dyDescent="0.3">
      <c r="A183" s="188" t="s">
        <v>1829</v>
      </c>
      <c r="B183" s="188" t="s">
        <v>1958</v>
      </c>
      <c r="C183" s="189">
        <v>1120</v>
      </c>
      <c r="D183" s="188" t="s">
        <v>1960</v>
      </c>
      <c r="E183" s="188" t="s">
        <v>2011</v>
      </c>
      <c r="F183" s="192" t="s">
        <v>1956</v>
      </c>
      <c r="G183" s="190">
        <v>12.9</v>
      </c>
      <c r="H183" s="191">
        <v>1290</v>
      </c>
      <c r="I183" s="191">
        <v>1741.5</v>
      </c>
      <c r="J183" s="191">
        <f t="shared" si="1"/>
        <v>-451.5</v>
      </c>
    </row>
    <row r="184" spans="1:10" x14ac:dyDescent="0.3">
      <c r="A184" s="188" t="s">
        <v>1974</v>
      </c>
      <c r="B184" s="188" t="s">
        <v>1958</v>
      </c>
      <c r="C184" s="189">
        <v>1065</v>
      </c>
      <c r="D184" s="188" t="s">
        <v>1960</v>
      </c>
      <c r="E184" s="188" t="s">
        <v>2015</v>
      </c>
      <c r="F184" s="189" t="s">
        <v>1953</v>
      </c>
      <c r="G184" s="190">
        <v>32</v>
      </c>
      <c r="H184" s="191">
        <v>4000</v>
      </c>
      <c r="I184" s="191">
        <v>5400</v>
      </c>
      <c r="J184" s="191">
        <f t="shared" si="1"/>
        <v>-1400</v>
      </c>
    </row>
    <row r="185" spans="1:10" x14ac:dyDescent="0.3">
      <c r="A185" s="188" t="s">
        <v>1974</v>
      </c>
      <c r="B185" s="188" t="s">
        <v>1972</v>
      </c>
      <c r="C185" s="189">
        <v>1040</v>
      </c>
      <c r="D185" s="188" t="s">
        <v>1960</v>
      </c>
      <c r="E185" s="188" t="s">
        <v>2016</v>
      </c>
      <c r="F185" s="189" t="s">
        <v>1953</v>
      </c>
      <c r="G185" s="190">
        <v>6</v>
      </c>
      <c r="H185" s="191">
        <v>750</v>
      </c>
      <c r="I185" s="191">
        <v>742.5</v>
      </c>
      <c r="J185" s="191">
        <f t="shared" si="1"/>
        <v>7.5</v>
      </c>
    </row>
    <row r="186" spans="1:10" x14ac:dyDescent="0.3">
      <c r="A186" s="188" t="s">
        <v>1974</v>
      </c>
      <c r="B186" s="188" t="s">
        <v>1972</v>
      </c>
      <c r="C186" s="189">
        <v>1040</v>
      </c>
      <c r="D186" s="188" t="s">
        <v>1960</v>
      </c>
      <c r="E186" s="188" t="s">
        <v>2017</v>
      </c>
      <c r="F186" s="189" t="s">
        <v>1953</v>
      </c>
      <c r="G186" s="190">
        <v>2.9</v>
      </c>
      <c r="H186" s="191">
        <v>362.5</v>
      </c>
      <c r="I186" s="191">
        <v>358.875</v>
      </c>
      <c r="J186" s="191">
        <f t="shared" si="1"/>
        <v>3.625</v>
      </c>
    </row>
    <row r="187" spans="1:10" x14ac:dyDescent="0.3">
      <c r="A187" s="188" t="s">
        <v>1974</v>
      </c>
      <c r="B187" s="188" t="s">
        <v>1958</v>
      </c>
      <c r="C187" s="189">
        <v>1040</v>
      </c>
      <c r="D187" s="188" t="s">
        <v>1960</v>
      </c>
      <c r="E187" s="188" t="s">
        <v>2017</v>
      </c>
      <c r="F187" s="189" t="s">
        <v>1953</v>
      </c>
      <c r="G187" s="190">
        <v>22</v>
      </c>
      <c r="H187" s="191">
        <v>2750</v>
      </c>
      <c r="I187" s="191">
        <v>3712.5</v>
      </c>
      <c r="J187" s="191">
        <f t="shared" si="1"/>
        <v>-962.5</v>
      </c>
    </row>
    <row r="188" spans="1:10" x14ac:dyDescent="0.3">
      <c r="A188" s="188" t="s">
        <v>1974</v>
      </c>
      <c r="B188" s="188" t="s">
        <v>1972</v>
      </c>
      <c r="C188" s="189">
        <v>1120</v>
      </c>
      <c r="D188" s="188" t="s">
        <v>1960</v>
      </c>
      <c r="E188" s="188" t="s">
        <v>2018</v>
      </c>
      <c r="F188" s="192" t="s">
        <v>1956</v>
      </c>
      <c r="G188" s="190">
        <v>2.6</v>
      </c>
      <c r="H188" s="191">
        <v>325</v>
      </c>
      <c r="I188" s="191">
        <v>321.75</v>
      </c>
      <c r="J188" s="191">
        <f t="shared" si="1"/>
        <v>3.25</v>
      </c>
    </row>
    <row r="189" spans="1:10" x14ac:dyDescent="0.3">
      <c r="A189" s="188" t="s">
        <v>1974</v>
      </c>
      <c r="B189" s="188" t="s">
        <v>1972</v>
      </c>
      <c r="C189" s="189">
        <v>1040</v>
      </c>
      <c r="D189" s="188" t="s">
        <v>1960</v>
      </c>
      <c r="E189" s="188" t="s">
        <v>2019</v>
      </c>
      <c r="F189" s="189" t="s">
        <v>1953</v>
      </c>
      <c r="G189" s="190">
        <v>9</v>
      </c>
      <c r="H189" s="191">
        <v>1125</v>
      </c>
      <c r="I189" s="191">
        <v>1113.75</v>
      </c>
      <c r="J189" s="191">
        <f t="shared" si="1"/>
        <v>11.25</v>
      </c>
    </row>
    <row r="190" spans="1:10" x14ac:dyDescent="0.3">
      <c r="A190" s="188" t="s">
        <v>1984</v>
      </c>
      <c r="B190" s="188" t="s">
        <v>1958</v>
      </c>
      <c r="C190" s="189">
        <v>1065</v>
      </c>
      <c r="D190" s="188" t="s">
        <v>1960</v>
      </c>
      <c r="E190" s="188" t="s">
        <v>2003</v>
      </c>
      <c r="F190" s="192" t="s">
        <v>1956</v>
      </c>
      <c r="G190" s="190">
        <v>5</v>
      </c>
      <c r="H190" s="191">
        <v>375</v>
      </c>
      <c r="I190" s="191">
        <v>506.25</v>
      </c>
      <c r="J190" s="191">
        <f t="shared" si="1"/>
        <v>-131.25</v>
      </c>
    </row>
    <row r="191" spans="1:10" x14ac:dyDescent="0.3">
      <c r="A191" s="188" t="s">
        <v>1984</v>
      </c>
      <c r="B191" s="188" t="s">
        <v>1972</v>
      </c>
      <c r="C191" s="189">
        <v>1120</v>
      </c>
      <c r="D191" s="188" t="s">
        <v>1960</v>
      </c>
      <c r="E191" s="188" t="s">
        <v>2008</v>
      </c>
      <c r="F191" s="192" t="s">
        <v>1956</v>
      </c>
      <c r="G191" s="190">
        <v>8</v>
      </c>
      <c r="H191" s="191">
        <v>600</v>
      </c>
      <c r="I191" s="191">
        <v>594</v>
      </c>
      <c r="J191" s="191">
        <f t="shared" ref="J191:J215" si="2">H191-I191</f>
        <v>6</v>
      </c>
    </row>
    <row r="192" spans="1:10" x14ac:dyDescent="0.3">
      <c r="A192" s="188" t="s">
        <v>1984</v>
      </c>
      <c r="B192" s="188" t="s">
        <v>1958</v>
      </c>
      <c r="C192" s="189">
        <v>1120</v>
      </c>
      <c r="D192" s="188" t="s">
        <v>1960</v>
      </c>
      <c r="E192" s="188" t="s">
        <v>2008</v>
      </c>
      <c r="F192" s="192" t="s">
        <v>1956</v>
      </c>
      <c r="G192" s="190">
        <v>6</v>
      </c>
      <c r="H192" s="191">
        <v>450</v>
      </c>
      <c r="I192" s="191">
        <v>607.5</v>
      </c>
      <c r="J192" s="191">
        <f t="shared" si="2"/>
        <v>-157.5</v>
      </c>
    </row>
    <row r="193" spans="1:10" x14ac:dyDescent="0.3">
      <c r="A193" s="188" t="s">
        <v>1984</v>
      </c>
      <c r="B193" s="188" t="s">
        <v>1972</v>
      </c>
      <c r="C193" s="189">
        <v>1040</v>
      </c>
      <c r="D193" s="188" t="s">
        <v>1960</v>
      </c>
      <c r="E193" s="188" t="s">
        <v>2020</v>
      </c>
      <c r="F193" s="189" t="s">
        <v>1953</v>
      </c>
      <c r="G193" s="190">
        <v>32</v>
      </c>
      <c r="H193" s="191">
        <v>2400</v>
      </c>
      <c r="I193" s="191">
        <v>2376</v>
      </c>
      <c r="J193" s="191">
        <f t="shared" si="2"/>
        <v>24</v>
      </c>
    </row>
    <row r="194" spans="1:10" x14ac:dyDescent="0.3">
      <c r="A194" s="188" t="s">
        <v>1984</v>
      </c>
      <c r="B194" s="188" t="s">
        <v>1958</v>
      </c>
      <c r="C194" s="189" t="s">
        <v>1959</v>
      </c>
      <c r="D194" s="188" t="s">
        <v>1960</v>
      </c>
      <c r="E194" s="188" t="s">
        <v>2020</v>
      </c>
      <c r="F194" s="189" t="s">
        <v>1953</v>
      </c>
      <c r="G194" s="190">
        <v>14</v>
      </c>
      <c r="H194" s="191">
        <v>1050</v>
      </c>
      <c r="I194" s="191">
        <v>1417.5</v>
      </c>
      <c r="J194" s="191">
        <f t="shared" si="2"/>
        <v>-367.5</v>
      </c>
    </row>
    <row r="195" spans="1:10" x14ac:dyDescent="0.3">
      <c r="A195" s="188" t="s">
        <v>1984</v>
      </c>
      <c r="B195" s="188" t="s">
        <v>1972</v>
      </c>
      <c r="C195" s="189">
        <v>1040</v>
      </c>
      <c r="D195" s="188" t="s">
        <v>1960</v>
      </c>
      <c r="E195" s="188" t="s">
        <v>2004</v>
      </c>
      <c r="F195" s="189" t="s">
        <v>1953</v>
      </c>
      <c r="G195" s="190">
        <v>22</v>
      </c>
      <c r="H195" s="191">
        <v>1650</v>
      </c>
      <c r="I195" s="191">
        <v>1633.5</v>
      </c>
      <c r="J195" s="191">
        <f t="shared" si="2"/>
        <v>16.5</v>
      </c>
    </row>
    <row r="196" spans="1:10" x14ac:dyDescent="0.3">
      <c r="A196" s="188" t="s">
        <v>1984</v>
      </c>
      <c r="B196" s="188" t="s">
        <v>1958</v>
      </c>
      <c r="C196" s="189">
        <v>1040</v>
      </c>
      <c r="D196" s="188" t="s">
        <v>1960</v>
      </c>
      <c r="E196" s="188" t="s">
        <v>2007</v>
      </c>
      <c r="F196" s="189" t="s">
        <v>1953</v>
      </c>
      <c r="G196" s="190">
        <v>4.5</v>
      </c>
      <c r="H196" s="191">
        <v>337.5</v>
      </c>
      <c r="I196" s="191">
        <v>455.625</v>
      </c>
      <c r="J196" s="191">
        <f t="shared" si="2"/>
        <v>-118.125</v>
      </c>
    </row>
    <row r="197" spans="1:10" x14ac:dyDescent="0.3">
      <c r="A197" s="188" t="s">
        <v>1984</v>
      </c>
      <c r="B197" s="188" t="s">
        <v>1972</v>
      </c>
      <c r="C197" s="189">
        <v>1040</v>
      </c>
      <c r="D197" s="188" t="s">
        <v>1960</v>
      </c>
      <c r="E197" s="188" t="s">
        <v>2007</v>
      </c>
      <c r="F197" s="189" t="s">
        <v>1953</v>
      </c>
      <c r="G197" s="190">
        <v>2</v>
      </c>
      <c r="H197" s="191">
        <v>150</v>
      </c>
      <c r="I197" s="191">
        <v>148.5</v>
      </c>
      <c r="J197" s="191">
        <f t="shared" si="2"/>
        <v>1.5</v>
      </c>
    </row>
    <row r="198" spans="1:10" x14ac:dyDescent="0.3">
      <c r="A198" s="188" t="s">
        <v>1984</v>
      </c>
      <c r="B198" s="188" t="s">
        <v>1958</v>
      </c>
      <c r="C198" s="189" t="s">
        <v>1959</v>
      </c>
      <c r="D198" s="188" t="s">
        <v>1960</v>
      </c>
      <c r="E198" s="188" t="s">
        <v>2013</v>
      </c>
      <c r="F198" s="189" t="s">
        <v>1953</v>
      </c>
      <c r="G198" s="190">
        <v>3.5</v>
      </c>
      <c r="H198" s="191">
        <v>262.5</v>
      </c>
      <c r="I198" s="191">
        <v>354.375</v>
      </c>
      <c r="J198" s="191">
        <f t="shared" si="2"/>
        <v>-91.875</v>
      </c>
    </row>
    <row r="199" spans="1:10" x14ac:dyDescent="0.3">
      <c r="A199" s="188" t="s">
        <v>1984</v>
      </c>
      <c r="B199" s="188" t="s">
        <v>1972</v>
      </c>
      <c r="C199" s="189">
        <v>1040</v>
      </c>
      <c r="D199" s="188" t="s">
        <v>1960</v>
      </c>
      <c r="E199" s="188" t="s">
        <v>2014</v>
      </c>
      <c r="F199" s="189" t="s">
        <v>1953</v>
      </c>
      <c r="G199" s="190">
        <v>17</v>
      </c>
      <c r="H199" s="191">
        <v>1275</v>
      </c>
      <c r="I199" s="191">
        <v>1262.25</v>
      </c>
      <c r="J199" s="191">
        <f t="shared" si="2"/>
        <v>12.75</v>
      </c>
    </row>
    <row r="200" spans="1:10" x14ac:dyDescent="0.3">
      <c r="A200" s="188" t="s">
        <v>1984</v>
      </c>
      <c r="B200" s="188" t="s">
        <v>1958</v>
      </c>
      <c r="C200" s="189">
        <v>1040</v>
      </c>
      <c r="D200" s="188" t="s">
        <v>1960</v>
      </c>
      <c r="E200" s="188" t="s">
        <v>2014</v>
      </c>
      <c r="F200" s="189" t="s">
        <v>1953</v>
      </c>
      <c r="G200" s="190">
        <v>4</v>
      </c>
      <c r="H200" s="191">
        <v>300</v>
      </c>
      <c r="I200" s="191">
        <v>405</v>
      </c>
      <c r="J200" s="191">
        <f t="shared" si="2"/>
        <v>-105</v>
      </c>
    </row>
    <row r="201" spans="1:10" x14ac:dyDescent="0.3">
      <c r="A201" s="188" t="s">
        <v>1984</v>
      </c>
      <c r="B201" s="188" t="s">
        <v>1972</v>
      </c>
      <c r="C201" s="189">
        <v>1065</v>
      </c>
      <c r="D201" s="188" t="s">
        <v>1960</v>
      </c>
      <c r="E201" s="192" t="s">
        <v>2005</v>
      </c>
      <c r="F201" s="192" t="s">
        <v>1956</v>
      </c>
      <c r="G201" s="190">
        <v>12</v>
      </c>
      <c r="H201" s="191">
        <v>900</v>
      </c>
      <c r="I201" s="191">
        <v>891</v>
      </c>
      <c r="J201" s="191">
        <f t="shared" si="2"/>
        <v>9</v>
      </c>
    </row>
    <row r="202" spans="1:10" x14ac:dyDescent="0.3">
      <c r="A202" s="188" t="s">
        <v>1984</v>
      </c>
      <c r="B202" s="188" t="s">
        <v>1958</v>
      </c>
      <c r="C202" s="189">
        <v>1120</v>
      </c>
      <c r="D202" s="188" t="s">
        <v>1960</v>
      </c>
      <c r="E202" s="192" t="s">
        <v>2005</v>
      </c>
      <c r="F202" s="192" t="s">
        <v>1956</v>
      </c>
      <c r="G202" s="190">
        <v>6</v>
      </c>
      <c r="H202" s="191">
        <v>450</v>
      </c>
      <c r="I202" s="191">
        <v>607.5</v>
      </c>
      <c r="J202" s="191">
        <f t="shared" si="2"/>
        <v>-157.5</v>
      </c>
    </row>
    <row r="203" spans="1:10" x14ac:dyDescent="0.3">
      <c r="A203" s="188" t="s">
        <v>1984</v>
      </c>
      <c r="B203" s="188" t="s">
        <v>1958</v>
      </c>
      <c r="C203" s="189">
        <v>1120</v>
      </c>
      <c r="D203" s="188" t="s">
        <v>1960</v>
      </c>
      <c r="E203" s="192" t="s">
        <v>2006</v>
      </c>
      <c r="F203" s="192" t="s">
        <v>1956</v>
      </c>
      <c r="G203" s="190">
        <v>6</v>
      </c>
      <c r="H203" s="191">
        <v>450</v>
      </c>
      <c r="I203" s="191">
        <v>607.5</v>
      </c>
      <c r="J203" s="191">
        <f t="shared" si="2"/>
        <v>-157.5</v>
      </c>
    </row>
    <row r="204" spans="1:10" x14ac:dyDescent="0.3">
      <c r="A204" s="188" t="s">
        <v>1566</v>
      </c>
      <c r="B204" s="188" t="s">
        <v>1950</v>
      </c>
      <c r="C204" s="189">
        <v>1040</v>
      </c>
      <c r="D204" s="188" t="s">
        <v>1960</v>
      </c>
      <c r="E204" s="188" t="s">
        <v>2020</v>
      </c>
      <c r="F204" s="189" t="s">
        <v>1953</v>
      </c>
      <c r="G204" s="190">
        <v>12</v>
      </c>
      <c r="H204" s="191">
        <v>900</v>
      </c>
      <c r="I204" s="191">
        <v>828</v>
      </c>
      <c r="J204" s="191">
        <f t="shared" si="2"/>
        <v>72</v>
      </c>
    </row>
    <row r="205" spans="1:10" x14ac:dyDescent="0.3">
      <c r="A205" s="188" t="s">
        <v>1566</v>
      </c>
      <c r="B205" s="188" t="s">
        <v>1954</v>
      </c>
      <c r="C205" s="189" t="s">
        <v>1959</v>
      </c>
      <c r="D205" s="188" t="s">
        <v>1960</v>
      </c>
      <c r="E205" s="188" t="s">
        <v>2013</v>
      </c>
      <c r="F205" s="189" t="s">
        <v>1953</v>
      </c>
      <c r="G205" s="190">
        <v>6</v>
      </c>
      <c r="H205" s="191">
        <v>450</v>
      </c>
      <c r="I205" s="191">
        <v>504</v>
      </c>
      <c r="J205" s="191">
        <f t="shared" si="2"/>
        <v>-54</v>
      </c>
    </row>
    <row r="206" spans="1:10" x14ac:dyDescent="0.3">
      <c r="A206" s="188" t="s">
        <v>943</v>
      </c>
      <c r="B206" s="188" t="s">
        <v>1950</v>
      </c>
      <c r="C206" s="189">
        <v>1040</v>
      </c>
      <c r="D206" s="188" t="s">
        <v>1960</v>
      </c>
      <c r="E206" s="188" t="s">
        <v>2015</v>
      </c>
      <c r="F206" s="189" t="s">
        <v>1953</v>
      </c>
      <c r="G206" s="190">
        <v>16</v>
      </c>
      <c r="H206" s="191">
        <v>2000</v>
      </c>
      <c r="I206" s="191">
        <v>1840</v>
      </c>
      <c r="J206" s="191">
        <f t="shared" si="2"/>
        <v>160</v>
      </c>
    </row>
    <row r="207" spans="1:10" x14ac:dyDescent="0.3">
      <c r="A207" s="188" t="s">
        <v>943</v>
      </c>
      <c r="B207" s="188" t="s">
        <v>1954</v>
      </c>
      <c r="C207" s="189">
        <v>1040</v>
      </c>
      <c r="D207" s="188" t="s">
        <v>1960</v>
      </c>
      <c r="E207" s="188" t="s">
        <v>2015</v>
      </c>
      <c r="F207" s="189" t="s">
        <v>1953</v>
      </c>
      <c r="G207" s="190">
        <v>12</v>
      </c>
      <c r="H207" s="191">
        <v>1500</v>
      </c>
      <c r="I207" s="191">
        <v>1680</v>
      </c>
      <c r="J207" s="191">
        <f t="shared" si="2"/>
        <v>-180</v>
      </c>
    </row>
    <row r="208" spans="1:10" x14ac:dyDescent="0.3">
      <c r="A208" s="188" t="s">
        <v>943</v>
      </c>
      <c r="B208" s="188" t="s">
        <v>1954</v>
      </c>
      <c r="C208" s="189" t="s">
        <v>1973</v>
      </c>
      <c r="D208" s="188" t="s">
        <v>1960</v>
      </c>
      <c r="E208" s="188" t="s">
        <v>2016</v>
      </c>
      <c r="F208" s="189" t="s">
        <v>1953</v>
      </c>
      <c r="G208" s="190">
        <v>3.5</v>
      </c>
      <c r="H208" s="191">
        <v>437.5</v>
      </c>
      <c r="I208" s="191">
        <v>490</v>
      </c>
      <c r="J208" s="191">
        <f t="shared" si="2"/>
        <v>-52.5</v>
      </c>
    </row>
    <row r="209" spans="1:10" x14ac:dyDescent="0.3">
      <c r="A209" s="188" t="s">
        <v>943</v>
      </c>
      <c r="B209" s="188" t="s">
        <v>1950</v>
      </c>
      <c r="C209" s="189">
        <v>1040</v>
      </c>
      <c r="D209" s="188" t="s">
        <v>1960</v>
      </c>
      <c r="E209" s="188" t="s">
        <v>2016</v>
      </c>
      <c r="F209" s="189" t="s">
        <v>1953</v>
      </c>
      <c r="G209" s="190">
        <v>4.5</v>
      </c>
      <c r="H209" s="191">
        <v>562.5</v>
      </c>
      <c r="I209" s="191">
        <v>517.5</v>
      </c>
      <c r="J209" s="191">
        <f t="shared" si="2"/>
        <v>45</v>
      </c>
    </row>
    <row r="210" spans="1:10" x14ac:dyDescent="0.3">
      <c r="A210" s="188" t="s">
        <v>943</v>
      </c>
      <c r="B210" s="188" t="s">
        <v>1950</v>
      </c>
      <c r="C210" s="189">
        <v>1040</v>
      </c>
      <c r="D210" s="188" t="s">
        <v>1960</v>
      </c>
      <c r="E210" s="188" t="s">
        <v>2017</v>
      </c>
      <c r="F210" s="189" t="s">
        <v>1953</v>
      </c>
      <c r="G210" s="190">
        <v>12.9</v>
      </c>
      <c r="H210" s="191">
        <v>1612.5</v>
      </c>
      <c r="I210" s="191">
        <v>1483.5</v>
      </c>
      <c r="J210" s="191">
        <f t="shared" si="2"/>
        <v>129</v>
      </c>
    </row>
    <row r="211" spans="1:10" x14ac:dyDescent="0.3">
      <c r="A211" s="188" t="s">
        <v>943</v>
      </c>
      <c r="B211" s="188" t="s">
        <v>1954</v>
      </c>
      <c r="C211" s="189">
        <v>1120</v>
      </c>
      <c r="D211" s="188" t="s">
        <v>1960</v>
      </c>
      <c r="E211" s="188" t="s">
        <v>2018</v>
      </c>
      <c r="F211" s="192" t="s">
        <v>1956</v>
      </c>
      <c r="G211" s="190">
        <v>9</v>
      </c>
      <c r="H211" s="191">
        <v>1125</v>
      </c>
      <c r="I211" s="191">
        <v>1260</v>
      </c>
      <c r="J211" s="191">
        <f t="shared" si="2"/>
        <v>-135</v>
      </c>
    </row>
    <row r="212" spans="1:10" x14ac:dyDescent="0.3">
      <c r="A212" s="188" t="s">
        <v>943</v>
      </c>
      <c r="B212" s="188" t="s">
        <v>1950</v>
      </c>
      <c r="C212" s="189">
        <v>1120</v>
      </c>
      <c r="D212" s="188" t="s">
        <v>1960</v>
      </c>
      <c r="E212" s="188" t="s">
        <v>2018</v>
      </c>
      <c r="F212" s="192" t="s">
        <v>1956</v>
      </c>
      <c r="G212" s="190">
        <v>2.9</v>
      </c>
      <c r="H212" s="191">
        <v>362.5</v>
      </c>
      <c r="I212" s="191">
        <v>333.5</v>
      </c>
      <c r="J212" s="191">
        <f t="shared" si="2"/>
        <v>29</v>
      </c>
    </row>
    <row r="213" spans="1:10" x14ac:dyDescent="0.3">
      <c r="A213" s="188" t="s">
        <v>943</v>
      </c>
      <c r="B213" s="188" t="s">
        <v>1954</v>
      </c>
      <c r="C213" s="189">
        <v>1040</v>
      </c>
      <c r="D213" s="188" t="s">
        <v>1960</v>
      </c>
      <c r="E213" s="188" t="s">
        <v>2019</v>
      </c>
      <c r="F213" s="189" t="s">
        <v>1953</v>
      </c>
      <c r="G213" s="190">
        <v>5</v>
      </c>
      <c r="H213" s="191">
        <v>625</v>
      </c>
      <c r="I213" s="191">
        <v>700</v>
      </c>
      <c r="J213" s="191">
        <f t="shared" si="2"/>
        <v>-75</v>
      </c>
    </row>
    <row r="214" spans="1:10" x14ac:dyDescent="0.3">
      <c r="A214" s="188" t="s">
        <v>943</v>
      </c>
      <c r="B214" s="188" t="s">
        <v>1950</v>
      </c>
      <c r="C214" s="189">
        <v>1040</v>
      </c>
      <c r="D214" s="188" t="s">
        <v>1960</v>
      </c>
      <c r="E214" s="188" t="s">
        <v>2019</v>
      </c>
      <c r="F214" s="189" t="s">
        <v>1953</v>
      </c>
      <c r="G214" s="190">
        <v>2.6</v>
      </c>
      <c r="H214" s="191">
        <v>325</v>
      </c>
      <c r="I214" s="191">
        <v>299</v>
      </c>
      <c r="J214" s="191">
        <f t="shared" si="2"/>
        <v>26</v>
      </c>
    </row>
    <row r="215" spans="1:10" x14ac:dyDescent="0.3">
      <c r="A215" s="188" t="s">
        <v>1794</v>
      </c>
      <c r="B215" s="188" t="s">
        <v>1958</v>
      </c>
      <c r="C215" s="189">
        <v>1040</v>
      </c>
      <c r="D215" s="188" t="s">
        <v>1960</v>
      </c>
      <c r="E215" s="192" t="s">
        <v>2009</v>
      </c>
      <c r="F215" s="189" t="s">
        <v>1953</v>
      </c>
      <c r="G215" s="190">
        <v>4.5</v>
      </c>
      <c r="H215" s="191">
        <v>450</v>
      </c>
      <c r="I215" s="191">
        <v>607.5</v>
      </c>
      <c r="J215" s="191">
        <f t="shared" si="2"/>
        <v>-157.5</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showGridLines="0" workbookViewId="0">
      <selection activeCell="C4" sqref="C4"/>
    </sheetView>
  </sheetViews>
  <sheetFormatPr defaultColWidth="9.109375" defaultRowHeight="15.6" x14ac:dyDescent="0.3"/>
  <cols>
    <col min="1" max="2" width="9.109375" style="142"/>
    <col min="3" max="3" width="22.44140625" style="142" customWidth="1"/>
    <col min="4" max="6" width="9.109375" style="142"/>
    <col min="7" max="7" width="21.6640625" style="142" customWidth="1"/>
    <col min="8" max="16384" width="9.109375" style="142"/>
  </cols>
  <sheetData>
    <row r="1" spans="1:13" ht="25.8" x14ac:dyDescent="0.5">
      <c r="A1" s="144" t="s">
        <v>2027</v>
      </c>
      <c r="M1" s="634" t="s">
        <v>3016</v>
      </c>
    </row>
    <row r="2" spans="1:13" x14ac:dyDescent="0.3">
      <c r="B2" s="176"/>
      <c r="C2" s="176"/>
      <c r="D2" s="176"/>
      <c r="E2" s="176"/>
      <c r="F2" s="176"/>
      <c r="G2" s="176"/>
      <c r="H2" s="176"/>
      <c r="I2" s="176"/>
      <c r="J2" s="176"/>
      <c r="K2" s="176"/>
      <c r="L2" s="176"/>
    </row>
    <row r="3" spans="1:13" x14ac:dyDescent="0.3">
      <c r="B3" s="176"/>
      <c r="C3" s="176"/>
      <c r="D3" s="176"/>
      <c r="E3" s="176"/>
      <c r="F3" s="176"/>
      <c r="G3" s="176"/>
      <c r="H3" s="176"/>
      <c r="I3" s="176"/>
      <c r="J3" s="176"/>
      <c r="K3" s="176"/>
      <c r="L3" s="176"/>
    </row>
    <row r="4" spans="1:13" x14ac:dyDescent="0.3">
      <c r="B4" s="176"/>
      <c r="C4" s="177" t="str">
        <f>HYPERLINK("[http://www.carltoncollins.com]","Carlton's Web Site")</f>
        <v>Carlton's Web Site</v>
      </c>
      <c r="D4" s="176"/>
      <c r="E4" s="176"/>
      <c r="F4" s="176"/>
      <c r="G4" s="176"/>
      <c r="H4" s="176"/>
      <c r="I4" s="176"/>
      <c r="J4" s="176"/>
      <c r="K4" s="176"/>
      <c r="L4" s="176"/>
    </row>
    <row r="5" spans="1:13" x14ac:dyDescent="0.3">
      <c r="B5" s="176"/>
      <c r="C5" s="176"/>
      <c r="D5" s="176"/>
      <c r="E5" s="176"/>
      <c r="F5" s="176"/>
      <c r="G5" s="176"/>
      <c r="H5" s="176"/>
      <c r="I5" s="176"/>
      <c r="J5" s="176"/>
      <c r="K5" s="176"/>
      <c r="L5" s="176"/>
    </row>
    <row r="6" spans="1:13" x14ac:dyDescent="0.3">
      <c r="B6" s="176"/>
      <c r="C6" s="177" t="str">
        <f>HYPERLINK(G6)</f>
        <v>http://www.cdw.com</v>
      </c>
      <c r="D6" s="176"/>
      <c r="E6" s="176"/>
      <c r="F6" s="176"/>
      <c r="G6" s="178" t="s">
        <v>2028</v>
      </c>
      <c r="H6" s="176"/>
      <c r="I6" s="176"/>
      <c r="J6" s="176"/>
      <c r="K6" s="176"/>
      <c r="L6" s="176"/>
    </row>
    <row r="7" spans="1:13" x14ac:dyDescent="0.3">
      <c r="B7" s="176"/>
      <c r="C7" s="176"/>
      <c r="D7" s="176"/>
      <c r="E7" s="176"/>
      <c r="F7" s="176"/>
      <c r="G7" s="176"/>
      <c r="H7" s="176"/>
      <c r="I7" s="176"/>
      <c r="J7" s="176"/>
      <c r="K7" s="176"/>
      <c r="L7" s="176"/>
    </row>
    <row r="8" spans="1:13" x14ac:dyDescent="0.3">
      <c r="B8" s="176"/>
      <c r="C8" s="176"/>
      <c r="D8" s="176"/>
      <c r="E8" s="176"/>
      <c r="F8" s="176"/>
      <c r="G8" s="176"/>
      <c r="H8" s="176"/>
      <c r="I8" s="176"/>
      <c r="J8" s="176"/>
      <c r="K8" s="176"/>
      <c r="L8" s="176"/>
    </row>
    <row r="9" spans="1:13" x14ac:dyDescent="0.3">
      <c r="B9" s="176"/>
      <c r="C9" s="177"/>
      <c r="D9" s="176"/>
      <c r="E9" s="176"/>
      <c r="F9" s="176"/>
      <c r="G9" s="179"/>
      <c r="H9" s="176"/>
      <c r="I9" s="176"/>
      <c r="J9" s="176"/>
      <c r="K9" s="176"/>
      <c r="L9" s="176"/>
    </row>
    <row r="10" spans="1:13" x14ac:dyDescent="0.3">
      <c r="B10" s="176"/>
      <c r="C10" s="176"/>
      <c r="D10" s="176"/>
      <c r="E10" s="176"/>
      <c r="F10" s="176"/>
      <c r="G10" s="176"/>
      <c r="H10" s="176"/>
      <c r="I10" s="176"/>
      <c r="J10" s="176"/>
      <c r="K10" s="176"/>
      <c r="L10" s="176"/>
    </row>
    <row r="11" spans="1:13" x14ac:dyDescent="0.3">
      <c r="B11" s="176"/>
      <c r="C11" s="176"/>
      <c r="D11" s="176"/>
      <c r="E11" s="176"/>
      <c r="F11" s="176"/>
      <c r="G11" s="176"/>
      <c r="H11" s="176"/>
      <c r="I11" s="176"/>
      <c r="J11" s="176"/>
      <c r="K11" s="176"/>
      <c r="L11" s="176"/>
    </row>
    <row r="12" spans="1:13" x14ac:dyDescent="0.3">
      <c r="B12" s="176"/>
      <c r="C12" s="176"/>
      <c r="D12" s="176"/>
      <c r="E12" s="176"/>
      <c r="F12" s="176"/>
      <c r="G12" s="179"/>
      <c r="H12" s="176"/>
      <c r="I12" s="176"/>
      <c r="J12" s="176"/>
      <c r="K12" s="176"/>
      <c r="L12" s="176"/>
    </row>
    <row r="13" spans="1:13" x14ac:dyDescent="0.3">
      <c r="B13" s="176"/>
      <c r="C13" s="176"/>
      <c r="D13" s="176"/>
      <c r="E13" s="176"/>
      <c r="F13" s="176"/>
      <c r="G13" s="176"/>
      <c r="H13" s="176"/>
      <c r="I13" s="176"/>
      <c r="J13" s="176"/>
      <c r="K13" s="176"/>
      <c r="L13" s="176"/>
    </row>
    <row r="14" spans="1:13" x14ac:dyDescent="0.3">
      <c r="B14" s="176"/>
      <c r="C14" s="176"/>
      <c r="D14" s="176"/>
      <c r="E14" s="176"/>
      <c r="F14" s="176"/>
      <c r="G14" s="176"/>
      <c r="H14" s="176"/>
      <c r="I14" s="176"/>
      <c r="J14" s="176"/>
      <c r="K14" s="176"/>
      <c r="L14" s="176"/>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workbookViewId="0">
      <selection activeCell="B12" sqref="B12"/>
    </sheetView>
  </sheetViews>
  <sheetFormatPr defaultColWidth="9.109375" defaultRowHeight="15.6" x14ac:dyDescent="0.3"/>
  <cols>
    <col min="1" max="1" width="9.109375" style="142"/>
    <col min="2" max="2" width="11.33203125" style="142" customWidth="1"/>
    <col min="3" max="4" width="9.109375" style="142"/>
    <col min="5" max="5" width="11" style="142" bestFit="1" customWidth="1"/>
    <col min="6" max="16384" width="9.109375" style="142"/>
  </cols>
  <sheetData>
    <row r="1" spans="1:10" ht="25.8" x14ac:dyDescent="0.5">
      <c r="A1" s="144" t="s">
        <v>2032</v>
      </c>
      <c r="J1" s="634" t="s">
        <v>3016</v>
      </c>
    </row>
    <row r="2" spans="1:10" ht="23.25" customHeight="1" x14ac:dyDescent="0.3"/>
    <row r="3" spans="1:10" ht="16.2" thickBot="1" x14ac:dyDescent="0.35"/>
    <row r="4" spans="1:10" x14ac:dyDescent="0.3">
      <c r="B4" s="167"/>
      <c r="C4" s="168" t="s">
        <v>102</v>
      </c>
      <c r="D4" s="169" t="s">
        <v>103</v>
      </c>
      <c r="E4" s="169" t="s">
        <v>104</v>
      </c>
      <c r="F4" s="169" t="s">
        <v>708</v>
      </c>
      <c r="G4" s="169" t="s">
        <v>709</v>
      </c>
      <c r="H4" s="169" t="s">
        <v>710</v>
      </c>
    </row>
    <row r="5" spans="1:10" x14ac:dyDescent="0.3">
      <c r="B5" s="167" t="s">
        <v>277</v>
      </c>
      <c r="C5" s="170">
        <v>344</v>
      </c>
      <c r="D5" s="171">
        <v>455</v>
      </c>
      <c r="E5" s="171">
        <v>657</v>
      </c>
      <c r="F5" s="171">
        <v>798.33333333333303</v>
      </c>
      <c r="G5" s="171">
        <v>954.83333333333303</v>
      </c>
      <c r="H5" s="171">
        <v>1111.3333333333301</v>
      </c>
    </row>
    <row r="6" spans="1:10" x14ac:dyDescent="0.3">
      <c r="B6" s="167" t="s">
        <v>270</v>
      </c>
      <c r="C6" s="170">
        <v>544</v>
      </c>
      <c r="D6" s="171">
        <v>559</v>
      </c>
      <c r="E6" s="171">
        <v>877</v>
      </c>
      <c r="F6" s="171">
        <v>993</v>
      </c>
      <c r="G6" s="171">
        <v>1159.5</v>
      </c>
      <c r="H6" s="171">
        <v>1326</v>
      </c>
    </row>
    <row r="7" spans="1:10" x14ac:dyDescent="0.3">
      <c r="B7" s="167" t="s">
        <v>278</v>
      </c>
      <c r="C7" s="170">
        <v>522</v>
      </c>
      <c r="D7" s="171">
        <v>466</v>
      </c>
      <c r="E7" s="171">
        <v>688</v>
      </c>
      <c r="F7" s="171">
        <v>724.66666666666697</v>
      </c>
      <c r="G7" s="171">
        <v>807.66666666666697</v>
      </c>
      <c r="H7" s="171">
        <v>890.66666666666697</v>
      </c>
    </row>
    <row r="8" spans="1:10" ht="16.2" thickBot="1" x14ac:dyDescent="0.35">
      <c r="B8" s="167" t="s">
        <v>274</v>
      </c>
      <c r="C8" s="170">
        <v>344</v>
      </c>
      <c r="D8" s="171">
        <v>554</v>
      </c>
      <c r="E8" s="171">
        <v>982</v>
      </c>
      <c r="F8" s="171">
        <v>1264.6666666666699</v>
      </c>
      <c r="G8" s="171">
        <v>1583.6666666666699</v>
      </c>
      <c r="H8" s="171">
        <v>1902.6666666666699</v>
      </c>
    </row>
    <row r="9" spans="1:10" ht="16.2" thickBot="1" x14ac:dyDescent="0.35">
      <c r="B9" s="167"/>
      <c r="C9" s="172">
        <f t="shared" ref="C9:H9" si="0">SUM(C5:C8)</f>
        <v>1754</v>
      </c>
      <c r="D9" s="173">
        <f t="shared" si="0"/>
        <v>2034</v>
      </c>
      <c r="E9" s="173">
        <f t="shared" si="0"/>
        <v>3204</v>
      </c>
      <c r="F9" s="173">
        <f t="shared" si="0"/>
        <v>3780.6666666666697</v>
      </c>
      <c r="G9" s="173">
        <f t="shared" si="0"/>
        <v>4505.6666666666697</v>
      </c>
      <c r="H9" s="173">
        <f t="shared" si="0"/>
        <v>5230.666666666667</v>
      </c>
    </row>
    <row r="12" spans="1:10" x14ac:dyDescent="0.3">
      <c r="B12" s="174" t="e">
        <f>TRANSPOSE(B4:H9)</f>
        <v>#VALUE!</v>
      </c>
      <c r="C12" s="174"/>
      <c r="D12" s="174"/>
      <c r="E12" s="174"/>
      <c r="F12" s="174"/>
      <c r="G12" s="174"/>
    </row>
    <row r="13" spans="1:10" x14ac:dyDescent="0.3">
      <c r="B13" s="174"/>
      <c r="C13" s="174"/>
      <c r="D13" s="174"/>
      <c r="E13" s="174"/>
      <c r="F13" s="174"/>
      <c r="G13" s="174"/>
      <c r="I13" s="175" t="s">
        <v>2031</v>
      </c>
    </row>
    <row r="14" spans="1:10" x14ac:dyDescent="0.3">
      <c r="B14" s="174"/>
      <c r="C14" s="174"/>
      <c r="D14" s="174"/>
      <c r="E14" s="174"/>
      <c r="F14" s="174"/>
      <c r="G14" s="174"/>
      <c r="I14" s="142" t="s">
        <v>2029</v>
      </c>
    </row>
    <row r="15" spans="1:10" x14ac:dyDescent="0.3">
      <c r="B15" s="174"/>
      <c r="C15" s="174"/>
      <c r="D15" s="174"/>
      <c r="E15" s="174"/>
      <c r="F15" s="174"/>
      <c r="G15" s="174"/>
      <c r="I15" s="142" t="s">
        <v>2030</v>
      </c>
    </row>
    <row r="16" spans="1:10" x14ac:dyDescent="0.3">
      <c r="B16" s="174"/>
      <c r="C16" s="174"/>
      <c r="D16" s="174"/>
      <c r="E16" s="174"/>
      <c r="F16" s="174"/>
      <c r="G16" s="174"/>
    </row>
    <row r="17" spans="2:7" x14ac:dyDescent="0.3">
      <c r="B17" s="174"/>
      <c r="C17" s="174"/>
      <c r="D17" s="174"/>
      <c r="E17" s="174"/>
      <c r="F17" s="174"/>
      <c r="G17" s="174"/>
    </row>
    <row r="18" spans="2:7" x14ac:dyDescent="0.3">
      <c r="B18" s="174"/>
      <c r="C18" s="174"/>
      <c r="D18" s="174"/>
      <c r="E18" s="174"/>
      <c r="F18" s="174"/>
      <c r="G18" s="174"/>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zoomScale="90" zoomScaleNormal="90" workbookViewId="0">
      <selection activeCell="H4" sqref="H4"/>
    </sheetView>
  </sheetViews>
  <sheetFormatPr defaultColWidth="9.109375" defaultRowHeight="15.6" x14ac:dyDescent="0.3"/>
  <cols>
    <col min="1" max="2" width="9.109375" style="142"/>
    <col min="3" max="3" width="22.44140625" style="142" customWidth="1"/>
    <col min="4" max="7" width="13.88671875" style="142" customWidth="1"/>
    <col min="8" max="8" width="29.6640625" style="142" customWidth="1"/>
    <col min="9" max="16384" width="9.109375" style="142"/>
  </cols>
  <sheetData>
    <row r="1" spans="1:8" ht="25.8" x14ac:dyDescent="0.5">
      <c r="A1" s="144" t="s">
        <v>2033</v>
      </c>
      <c r="H1" s="634" t="s">
        <v>3016</v>
      </c>
    </row>
    <row r="3" spans="1:8" x14ac:dyDescent="0.3">
      <c r="B3" s="151" t="s">
        <v>707</v>
      </c>
      <c r="C3" s="152"/>
      <c r="D3" s="153" t="s">
        <v>571</v>
      </c>
      <c r="E3" s="153" t="s">
        <v>572</v>
      </c>
      <c r="F3" s="154" t="s">
        <v>2034</v>
      </c>
      <c r="G3" s="155" t="s">
        <v>2035</v>
      </c>
      <c r="H3" s="156"/>
    </row>
    <row r="4" spans="1:8" x14ac:dyDescent="0.3">
      <c r="B4" s="157" t="s">
        <v>1048</v>
      </c>
      <c r="C4" s="152"/>
      <c r="D4" s="158">
        <v>31800</v>
      </c>
      <c r="E4" s="159">
        <v>38765</v>
      </c>
      <c r="F4" s="160">
        <f>D4-E4</f>
        <v>-6965</v>
      </c>
      <c r="G4" s="143">
        <f>F4/D4</f>
        <v>-0.21902515723270441</v>
      </c>
      <c r="H4" s="161">
        <f>ABS(G4)</f>
        <v>0.21902515723270441</v>
      </c>
    </row>
    <row r="5" spans="1:8" x14ac:dyDescent="0.3">
      <c r="B5" s="157" t="s">
        <v>1049</v>
      </c>
      <c r="C5" s="152"/>
      <c r="D5" s="158">
        <v>1100</v>
      </c>
      <c r="E5" s="159">
        <v>940</v>
      </c>
      <c r="F5" s="160">
        <f t="shared" ref="F5:F32" si="0">D5-E5</f>
        <v>160</v>
      </c>
      <c r="G5" s="143">
        <f t="shared" ref="G5:G32" si="1">F5/D5</f>
        <v>0.14545454545454545</v>
      </c>
      <c r="H5" s="161">
        <f t="shared" ref="H5:H28" si="2">ABS(G5)</f>
        <v>0.14545454545454545</v>
      </c>
    </row>
    <row r="6" spans="1:8" x14ac:dyDescent="0.3">
      <c r="B6" s="157" t="s">
        <v>1050</v>
      </c>
      <c r="C6" s="152"/>
      <c r="D6" s="158">
        <v>4200</v>
      </c>
      <c r="E6" s="159">
        <v>7698</v>
      </c>
      <c r="F6" s="160">
        <f t="shared" si="0"/>
        <v>-3498</v>
      </c>
      <c r="G6" s="143">
        <f t="shared" si="1"/>
        <v>-0.83285714285714285</v>
      </c>
      <c r="H6" s="161">
        <f t="shared" si="2"/>
        <v>0.83285714285714285</v>
      </c>
    </row>
    <row r="7" spans="1:8" x14ac:dyDescent="0.3">
      <c r="B7" s="157" t="s">
        <v>1051</v>
      </c>
      <c r="C7" s="152"/>
      <c r="D7" s="158">
        <v>189200</v>
      </c>
      <c r="E7" s="159">
        <v>266548</v>
      </c>
      <c r="F7" s="160">
        <f t="shared" si="0"/>
        <v>-77348</v>
      </c>
      <c r="G7" s="143">
        <f t="shared" si="1"/>
        <v>-0.40881606765327694</v>
      </c>
      <c r="H7" s="161">
        <f t="shared" si="2"/>
        <v>0.40881606765327694</v>
      </c>
    </row>
    <row r="8" spans="1:8" x14ac:dyDescent="0.3">
      <c r="B8" s="157" t="s">
        <v>1052</v>
      </c>
      <c r="C8" s="152"/>
      <c r="D8" s="158">
        <v>15000</v>
      </c>
      <c r="E8" s="159">
        <v>12825.3</v>
      </c>
      <c r="F8" s="160">
        <f t="shared" si="0"/>
        <v>2174.7000000000007</v>
      </c>
      <c r="G8" s="143">
        <f t="shared" si="1"/>
        <v>0.14498000000000005</v>
      </c>
      <c r="H8" s="161">
        <f t="shared" si="2"/>
        <v>0.14498000000000005</v>
      </c>
    </row>
    <row r="9" spans="1:8" x14ac:dyDescent="0.3">
      <c r="B9" s="157" t="s">
        <v>1053</v>
      </c>
      <c r="C9" s="152"/>
      <c r="D9" s="158">
        <v>25400</v>
      </c>
      <c r="E9" s="159">
        <v>60511.3</v>
      </c>
      <c r="F9" s="160">
        <f t="shared" si="0"/>
        <v>-35111.300000000003</v>
      </c>
      <c r="G9" s="143">
        <f t="shared" si="1"/>
        <v>-1.3823346456692915</v>
      </c>
      <c r="H9" s="161">
        <f t="shared" si="2"/>
        <v>1.3823346456692915</v>
      </c>
    </row>
    <row r="10" spans="1:8" x14ac:dyDescent="0.3">
      <c r="B10" s="157" t="s">
        <v>1054</v>
      </c>
      <c r="C10" s="152"/>
      <c r="D10" s="158">
        <v>4600</v>
      </c>
      <c r="E10" s="159">
        <v>3709.6</v>
      </c>
      <c r="F10" s="160">
        <f t="shared" si="0"/>
        <v>890.40000000000009</v>
      </c>
      <c r="G10" s="143">
        <f t="shared" si="1"/>
        <v>0.19356521739130436</v>
      </c>
      <c r="H10" s="161">
        <f t="shared" si="2"/>
        <v>0.19356521739130436</v>
      </c>
    </row>
    <row r="11" spans="1:8" x14ac:dyDescent="0.3">
      <c r="B11" s="157" t="s">
        <v>1055</v>
      </c>
      <c r="C11" s="152"/>
      <c r="D11" s="158">
        <v>7200</v>
      </c>
      <c r="E11" s="159">
        <v>654.09999999999991</v>
      </c>
      <c r="F11" s="160">
        <f t="shared" si="0"/>
        <v>6545.9</v>
      </c>
      <c r="G11" s="143">
        <f t="shared" si="1"/>
        <v>0.9091527777777777</v>
      </c>
      <c r="H11" s="161">
        <f t="shared" si="2"/>
        <v>0.9091527777777777</v>
      </c>
    </row>
    <row r="12" spans="1:8" x14ac:dyDescent="0.3">
      <c r="B12" s="157" t="s">
        <v>1056</v>
      </c>
      <c r="C12" s="152"/>
      <c r="D12" s="158">
        <v>49800</v>
      </c>
      <c r="E12" s="159">
        <v>39500.5</v>
      </c>
      <c r="F12" s="160">
        <f t="shared" si="0"/>
        <v>10299.5</v>
      </c>
      <c r="G12" s="143">
        <f t="shared" si="1"/>
        <v>0.20681726907630521</v>
      </c>
      <c r="H12" s="161">
        <f t="shared" si="2"/>
        <v>0.20681726907630521</v>
      </c>
    </row>
    <row r="13" spans="1:8" x14ac:dyDescent="0.3">
      <c r="B13" s="157" t="s">
        <v>1057</v>
      </c>
      <c r="C13" s="152"/>
      <c r="D13" s="158">
        <v>107600</v>
      </c>
      <c r="E13" s="159">
        <v>116970</v>
      </c>
      <c r="F13" s="160">
        <f t="shared" si="0"/>
        <v>-9370</v>
      </c>
      <c r="G13" s="143">
        <f t="shared" si="1"/>
        <v>-8.7081784386617095E-2</v>
      </c>
      <c r="H13" s="161">
        <f t="shared" si="2"/>
        <v>8.7081784386617095E-2</v>
      </c>
    </row>
    <row r="14" spans="1:8" x14ac:dyDescent="0.3">
      <c r="B14" s="157" t="s">
        <v>1058</v>
      </c>
      <c r="C14" s="152"/>
      <c r="D14" s="158">
        <v>15400</v>
      </c>
      <c r="E14" s="159">
        <v>11848.699999999999</v>
      </c>
      <c r="F14" s="160">
        <f t="shared" si="0"/>
        <v>3551.3000000000011</v>
      </c>
      <c r="G14" s="143">
        <f t="shared" si="1"/>
        <v>0.23060389610389617</v>
      </c>
      <c r="H14" s="161">
        <f t="shared" si="2"/>
        <v>0.23060389610389617</v>
      </c>
    </row>
    <row r="15" spans="1:8" x14ac:dyDescent="0.3">
      <c r="B15" s="157" t="s">
        <v>1059</v>
      </c>
      <c r="C15" s="152"/>
      <c r="D15" s="158">
        <v>700</v>
      </c>
      <c r="E15" s="159">
        <v>900</v>
      </c>
      <c r="F15" s="160">
        <f t="shared" si="0"/>
        <v>-200</v>
      </c>
      <c r="G15" s="143">
        <f t="shared" si="1"/>
        <v>-0.2857142857142857</v>
      </c>
      <c r="H15" s="161">
        <f t="shared" si="2"/>
        <v>0.2857142857142857</v>
      </c>
    </row>
    <row r="16" spans="1:8" x14ac:dyDescent="0.3">
      <c r="B16" s="157" t="s">
        <v>1060</v>
      </c>
      <c r="C16" s="152"/>
      <c r="D16" s="158">
        <v>241600</v>
      </c>
      <c r="E16" s="159">
        <v>210102.5</v>
      </c>
      <c r="F16" s="160">
        <f t="shared" si="0"/>
        <v>31497.5</v>
      </c>
      <c r="G16" s="143">
        <f t="shared" si="1"/>
        <v>0.13037044701986755</v>
      </c>
      <c r="H16" s="161">
        <f t="shared" si="2"/>
        <v>0.13037044701986755</v>
      </c>
    </row>
    <row r="17" spans="2:8" x14ac:dyDescent="0.3">
      <c r="B17" s="157" t="s">
        <v>1061</v>
      </c>
      <c r="C17" s="152"/>
      <c r="D17" s="158">
        <v>43800</v>
      </c>
      <c r="E17" s="159">
        <v>68618.3</v>
      </c>
      <c r="F17" s="160">
        <f t="shared" si="0"/>
        <v>-24818.300000000003</v>
      </c>
      <c r="G17" s="143">
        <f t="shared" si="1"/>
        <v>-0.56662785388127856</v>
      </c>
      <c r="H17" s="161">
        <f t="shared" si="2"/>
        <v>0.56662785388127856</v>
      </c>
    </row>
    <row r="18" spans="2:8" x14ac:dyDescent="0.3">
      <c r="B18" s="157" t="s">
        <v>1062</v>
      </c>
      <c r="C18" s="152"/>
      <c r="D18" s="158">
        <v>27600</v>
      </c>
      <c r="E18" s="159">
        <v>57897.399999999994</v>
      </c>
      <c r="F18" s="160">
        <f t="shared" si="0"/>
        <v>-30297.399999999994</v>
      </c>
      <c r="G18" s="143">
        <f t="shared" si="1"/>
        <v>-1.0977318840579708</v>
      </c>
      <c r="H18" s="161">
        <f t="shared" si="2"/>
        <v>1.0977318840579708</v>
      </c>
    </row>
    <row r="19" spans="2:8" x14ac:dyDescent="0.3">
      <c r="B19" s="157" t="s">
        <v>1063</v>
      </c>
      <c r="C19" s="152"/>
      <c r="D19" s="158">
        <v>3400</v>
      </c>
      <c r="E19" s="159">
        <v>3915</v>
      </c>
      <c r="F19" s="160">
        <f t="shared" si="0"/>
        <v>-515</v>
      </c>
      <c r="G19" s="143">
        <f t="shared" si="1"/>
        <v>-0.15147058823529411</v>
      </c>
      <c r="H19" s="161">
        <f t="shared" si="2"/>
        <v>0.15147058823529411</v>
      </c>
    </row>
    <row r="20" spans="2:8" x14ac:dyDescent="0.3">
      <c r="B20" s="157" t="s">
        <v>1064</v>
      </c>
      <c r="C20" s="152"/>
      <c r="D20" s="158">
        <v>1513600</v>
      </c>
      <c r="E20" s="159">
        <v>1720000</v>
      </c>
      <c r="F20" s="160">
        <f t="shared" si="0"/>
        <v>-206400</v>
      </c>
      <c r="G20" s="143">
        <f t="shared" si="1"/>
        <v>-0.13636363636363635</v>
      </c>
      <c r="H20" s="161">
        <f t="shared" si="2"/>
        <v>0.13636363636363635</v>
      </c>
    </row>
    <row r="21" spans="2:8" x14ac:dyDescent="0.3">
      <c r="B21" s="157" t="s">
        <v>1066</v>
      </c>
      <c r="C21" s="152"/>
      <c r="D21" s="158">
        <v>14000</v>
      </c>
      <c r="E21" s="159">
        <v>12612.2</v>
      </c>
      <c r="F21" s="160">
        <f t="shared" si="0"/>
        <v>1387.7999999999993</v>
      </c>
      <c r="G21" s="143">
        <f t="shared" si="1"/>
        <v>9.9128571428571371E-2</v>
      </c>
      <c r="H21" s="161">
        <f t="shared" si="2"/>
        <v>9.9128571428571371E-2</v>
      </c>
    </row>
    <row r="22" spans="2:8" x14ac:dyDescent="0.3">
      <c r="B22" s="157" t="s">
        <v>1067</v>
      </c>
      <c r="C22" s="152"/>
      <c r="D22" s="158">
        <v>176900</v>
      </c>
      <c r="E22" s="159">
        <v>435751.2</v>
      </c>
      <c r="F22" s="160">
        <f t="shared" si="0"/>
        <v>-258851.20000000001</v>
      </c>
      <c r="G22" s="143">
        <f t="shared" si="1"/>
        <v>-1.4632628603730922</v>
      </c>
      <c r="H22" s="161">
        <f t="shared" si="2"/>
        <v>1.4632628603730922</v>
      </c>
    </row>
    <row r="23" spans="2:8" x14ac:dyDescent="0.3">
      <c r="B23" s="157" t="s">
        <v>1068</v>
      </c>
      <c r="C23" s="152"/>
      <c r="D23" s="158">
        <v>137100</v>
      </c>
      <c r="E23" s="159">
        <v>138500</v>
      </c>
      <c r="F23" s="160">
        <f t="shared" si="0"/>
        <v>-1400</v>
      </c>
      <c r="G23" s="143">
        <f t="shared" si="1"/>
        <v>-1.0211524434719184E-2</v>
      </c>
      <c r="H23" s="161">
        <f t="shared" si="2"/>
        <v>1.0211524434719184E-2</v>
      </c>
    </row>
    <row r="24" spans="2:8" x14ac:dyDescent="0.3">
      <c r="B24" s="157" t="s">
        <v>1069</v>
      </c>
      <c r="C24" s="152"/>
      <c r="D24" s="158">
        <v>5800</v>
      </c>
      <c r="E24" s="159">
        <v>5950</v>
      </c>
      <c r="F24" s="160">
        <f t="shared" si="0"/>
        <v>-150</v>
      </c>
      <c r="G24" s="143">
        <f t="shared" si="1"/>
        <v>-2.5862068965517241E-2</v>
      </c>
      <c r="H24" s="161">
        <f t="shared" si="2"/>
        <v>2.5862068965517241E-2</v>
      </c>
    </row>
    <row r="25" spans="2:8" x14ac:dyDescent="0.3">
      <c r="B25" s="157" t="s">
        <v>1070</v>
      </c>
      <c r="C25" s="152"/>
      <c r="D25" s="158">
        <v>130000</v>
      </c>
      <c r="E25" s="159">
        <v>132134.39999999999</v>
      </c>
      <c r="F25" s="160">
        <f t="shared" si="0"/>
        <v>-2134.3999999999942</v>
      </c>
      <c r="G25" s="143">
        <f t="shared" si="1"/>
        <v>-1.6418461538461493E-2</v>
      </c>
      <c r="H25" s="161">
        <f t="shared" si="2"/>
        <v>1.6418461538461493E-2</v>
      </c>
    </row>
    <row r="26" spans="2:8" x14ac:dyDescent="0.3">
      <c r="B26" s="157" t="s">
        <v>1071</v>
      </c>
      <c r="C26" s="152"/>
      <c r="D26" s="158">
        <v>1600</v>
      </c>
      <c r="E26" s="159">
        <v>1912.7</v>
      </c>
      <c r="F26" s="160">
        <f t="shared" si="0"/>
        <v>-312.70000000000005</v>
      </c>
      <c r="G26" s="143">
        <f t="shared" si="1"/>
        <v>-0.19543750000000004</v>
      </c>
      <c r="H26" s="161">
        <f t="shared" si="2"/>
        <v>0.19543750000000004</v>
      </c>
    </row>
    <row r="27" spans="2:8" x14ac:dyDescent="0.3">
      <c r="B27" s="157" t="s">
        <v>1072</v>
      </c>
      <c r="C27" s="152"/>
      <c r="D27" s="158">
        <v>10000</v>
      </c>
      <c r="E27" s="159">
        <v>9116.6</v>
      </c>
      <c r="F27" s="160">
        <f t="shared" si="0"/>
        <v>883.39999999999964</v>
      </c>
      <c r="G27" s="143">
        <f t="shared" si="1"/>
        <v>8.833999999999996E-2</v>
      </c>
      <c r="H27" s="161">
        <f t="shared" si="2"/>
        <v>8.833999999999996E-2</v>
      </c>
    </row>
    <row r="28" spans="2:8" x14ac:dyDescent="0.3">
      <c r="B28" s="157" t="s">
        <v>1073</v>
      </c>
      <c r="C28" s="152"/>
      <c r="D28" s="158">
        <v>50600</v>
      </c>
      <c r="E28" s="159">
        <v>41130.699999999997</v>
      </c>
      <c r="F28" s="160">
        <f t="shared" si="0"/>
        <v>9469.3000000000029</v>
      </c>
      <c r="G28" s="143">
        <f t="shared" si="1"/>
        <v>0.18714031620553365</v>
      </c>
      <c r="H28" s="161">
        <f t="shared" si="2"/>
        <v>0.18714031620553365</v>
      </c>
    </row>
    <row r="29" spans="2:8" x14ac:dyDescent="0.3">
      <c r="B29" s="157" t="s">
        <v>2036</v>
      </c>
      <c r="C29" s="152"/>
      <c r="D29" s="158"/>
      <c r="E29" s="159"/>
      <c r="F29" s="160"/>
      <c r="G29" s="143"/>
      <c r="H29" s="161"/>
    </row>
    <row r="30" spans="2:8" x14ac:dyDescent="0.3">
      <c r="B30" s="162" t="s">
        <v>1074</v>
      </c>
      <c r="D30" s="158">
        <v>6500</v>
      </c>
      <c r="E30" s="159">
        <v>5000</v>
      </c>
      <c r="F30" s="160">
        <f t="shared" si="0"/>
        <v>1500</v>
      </c>
      <c r="G30" s="143">
        <f t="shared" si="1"/>
        <v>0.23076923076923078</v>
      </c>
      <c r="H30" s="161"/>
    </row>
    <row r="31" spans="2:8" x14ac:dyDescent="0.3">
      <c r="B31" s="162" t="s">
        <v>176</v>
      </c>
      <c r="D31" s="159">
        <v>2500</v>
      </c>
      <c r="E31" s="159">
        <v>2000</v>
      </c>
      <c r="F31" s="159">
        <f t="shared" si="0"/>
        <v>500</v>
      </c>
      <c r="G31" s="143">
        <f t="shared" si="1"/>
        <v>0.2</v>
      </c>
      <c r="H31" s="161"/>
    </row>
    <row r="32" spans="2:8" x14ac:dyDescent="0.3">
      <c r="B32" s="157" t="s">
        <v>2037</v>
      </c>
      <c r="C32" s="152"/>
      <c r="D32" s="163">
        <v>8400</v>
      </c>
      <c r="E32" s="163">
        <v>7000</v>
      </c>
      <c r="F32" s="163">
        <f t="shared" si="0"/>
        <v>1400</v>
      </c>
      <c r="G32" s="143">
        <f t="shared" si="1"/>
        <v>0.16666666666666666</v>
      </c>
      <c r="H32" s="161"/>
    </row>
    <row r="33" spans="2:8" x14ac:dyDescent="0.3">
      <c r="B33" s="164" t="s">
        <v>723</v>
      </c>
      <c r="D33" s="159"/>
      <c r="E33" s="160"/>
      <c r="F33" s="160"/>
      <c r="H33" s="156"/>
    </row>
    <row r="34" spans="2:8" ht="16.2" thickBot="1" x14ac:dyDescent="0.35">
      <c r="B34" s="164" t="s">
        <v>1075</v>
      </c>
      <c r="D34" s="165">
        <v>2973200</v>
      </c>
      <c r="E34" s="165">
        <v>3401813.5000000009</v>
      </c>
      <c r="F34" s="165">
        <f t="shared" ref="F34" si="3">SUM(F4:F28)+F32</f>
        <v>-589111.5</v>
      </c>
      <c r="G34" s="165"/>
      <c r="H34" s="166"/>
    </row>
    <row r="35" spans="2:8" ht="16.2" thickTop="1" x14ac:dyDescent="0.3"/>
  </sheetData>
  <conditionalFormatting sqref="B3 B5:B34 E34:F34 C3:D34 E3:E33 F3">
    <cfRule type="expression" dxfId="3" priority="5" stopIfTrue="1">
      <formula>"istext(b3:i34)"</formula>
    </cfRule>
  </conditionalFormatting>
  <conditionalFormatting sqref="B4">
    <cfRule type="expression" dxfId="2" priority="4" stopIfTrue="1">
      <formula>"istext(b3)"</formula>
    </cfRule>
  </conditionalFormatting>
  <conditionalFormatting sqref="F31:F32">
    <cfRule type="expression" dxfId="1" priority="3" stopIfTrue="1">
      <formula>"istext(b3:i34)"</formula>
    </cfRule>
  </conditionalFormatting>
  <conditionalFormatting sqref="H34">
    <cfRule type="expression" dxfId="0" priority="2" stopIfTrue="1">
      <formula>"istext(b3:i34)"</formula>
    </cfRule>
  </conditionalFormatting>
  <conditionalFormatting sqref="H4:H28">
    <cfRule type="dataBar" priority="1">
      <dataBar>
        <cfvo type="min"/>
        <cfvo type="max"/>
        <color rgb="FF008AEF"/>
      </dataBar>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workbookViewId="0">
      <selection activeCell="D32" sqref="D32"/>
    </sheetView>
  </sheetViews>
  <sheetFormatPr defaultColWidth="9.109375" defaultRowHeight="14.4" x14ac:dyDescent="0.3"/>
  <cols>
    <col min="1" max="1" width="19.33203125" style="535" customWidth="1"/>
    <col min="2" max="2" width="13.6640625" style="535" customWidth="1"/>
    <col min="3" max="3" width="25.6640625" style="535" customWidth="1"/>
    <col min="4" max="4" width="13.6640625" style="535" customWidth="1"/>
    <col min="5" max="6" width="5.109375" style="535" customWidth="1"/>
    <col min="7" max="7" width="9.109375" style="535"/>
    <col min="8" max="8" width="25.33203125" style="535" customWidth="1"/>
    <col min="9" max="9" width="9.5546875" style="535" customWidth="1"/>
    <col min="10" max="16384" width="9.109375" style="535"/>
  </cols>
  <sheetData>
    <row r="1" spans="1:9" ht="19.8" x14ac:dyDescent="0.4">
      <c r="A1" s="553"/>
      <c r="B1" s="534"/>
      <c r="C1" s="534"/>
      <c r="D1" s="534"/>
      <c r="E1" s="632" t="s">
        <v>2049</v>
      </c>
    </row>
    <row r="2" spans="1:9" ht="19.8" x14ac:dyDescent="0.4">
      <c r="A2" s="541" t="s">
        <v>631</v>
      </c>
      <c r="B2" s="534"/>
      <c r="C2" s="534"/>
      <c r="D2" s="534"/>
    </row>
    <row r="3" spans="1:9" ht="19.8" x14ac:dyDescent="0.4">
      <c r="A3" s="534"/>
      <c r="B3" s="534"/>
      <c r="C3" s="534"/>
      <c r="D3" s="534"/>
    </row>
    <row r="4" spans="1:9" x14ac:dyDescent="0.3">
      <c r="A4" s="536">
        <f ca="1">TODAY()</f>
        <v>41386</v>
      </c>
      <c r="H4" s="554" t="s">
        <v>626</v>
      </c>
      <c r="I4" s="554">
        <v>0</v>
      </c>
    </row>
    <row r="5" spans="1:9" ht="15" customHeight="1" x14ac:dyDescent="0.3">
      <c r="A5" s="537" t="s">
        <v>0</v>
      </c>
      <c r="B5" s="537" t="s">
        <v>1</v>
      </c>
      <c r="C5" s="537" t="s">
        <v>630</v>
      </c>
      <c r="D5" s="537" t="s">
        <v>9</v>
      </c>
      <c r="H5" s="554" t="s">
        <v>627</v>
      </c>
      <c r="I5" s="554">
        <v>1500</v>
      </c>
    </row>
    <row r="6" spans="1:9" ht="15" customHeight="1" x14ac:dyDescent="0.3">
      <c r="A6" s="535" t="s">
        <v>4</v>
      </c>
      <c r="B6" s="538">
        <v>39508</v>
      </c>
      <c r="C6" s="555" t="s">
        <v>627</v>
      </c>
      <c r="D6" s="540">
        <f>IF(C6="B. Basic Bonus",$I$5,IF(C6="C. High perfpormance Bonus",$I$6,IF(C6="D. Super Bonus",$I$7,$I$4)))</f>
        <v>1500</v>
      </c>
      <c r="H6" s="554" t="s">
        <v>628</v>
      </c>
      <c r="I6" s="554">
        <v>2500</v>
      </c>
    </row>
    <row r="7" spans="1:9" x14ac:dyDescent="0.3">
      <c r="A7" s="542" t="s">
        <v>3</v>
      </c>
      <c r="B7" s="543">
        <v>38657</v>
      </c>
      <c r="C7" s="556" t="s">
        <v>628</v>
      </c>
      <c r="D7" s="540">
        <f t="shared" ref="D7:D14" si="0">IF(C7="B. Basic Bonus",$I$5,IF(C7="C. High perfpormance Bonus",$I$6,IF(C7="D. Super Bonus",$I$7,$I$4)))</f>
        <v>0</v>
      </c>
      <c r="H7" s="554" t="s">
        <v>629</v>
      </c>
      <c r="I7" s="554">
        <v>4000</v>
      </c>
    </row>
    <row r="8" spans="1:9" x14ac:dyDescent="0.3">
      <c r="A8" s="545" t="s">
        <v>5</v>
      </c>
      <c r="B8" s="538">
        <v>37773</v>
      </c>
      <c r="C8" s="557" t="s">
        <v>629</v>
      </c>
      <c r="D8" s="540">
        <f t="shared" si="0"/>
        <v>4000</v>
      </c>
    </row>
    <row r="9" spans="1:9" x14ac:dyDescent="0.3">
      <c r="A9" s="542" t="s">
        <v>2</v>
      </c>
      <c r="B9" s="543">
        <v>39114</v>
      </c>
      <c r="C9" s="556" t="s">
        <v>626</v>
      </c>
      <c r="D9" s="540">
        <f t="shared" si="0"/>
        <v>0</v>
      </c>
    </row>
    <row r="10" spans="1:9" x14ac:dyDescent="0.3">
      <c r="A10" s="546" t="s">
        <v>621</v>
      </c>
      <c r="B10" s="547">
        <v>39508</v>
      </c>
      <c r="C10" s="535" t="s">
        <v>627</v>
      </c>
      <c r="D10" s="540">
        <f t="shared" si="0"/>
        <v>1500</v>
      </c>
    </row>
    <row r="11" spans="1:9" x14ac:dyDescent="0.3">
      <c r="A11" s="546" t="s">
        <v>622</v>
      </c>
      <c r="B11" s="548">
        <v>38657</v>
      </c>
      <c r="C11" s="535" t="s">
        <v>628</v>
      </c>
      <c r="D11" s="540">
        <f t="shared" si="0"/>
        <v>0</v>
      </c>
    </row>
    <row r="12" spans="1:9" x14ac:dyDescent="0.3">
      <c r="A12" s="549" t="s">
        <v>618</v>
      </c>
      <c r="B12" s="550">
        <v>38770</v>
      </c>
      <c r="C12" s="535" t="s">
        <v>626</v>
      </c>
      <c r="D12" s="540">
        <f t="shared" si="0"/>
        <v>0</v>
      </c>
    </row>
    <row r="13" spans="1:9" x14ac:dyDescent="0.3">
      <c r="A13" s="549" t="s">
        <v>619</v>
      </c>
      <c r="B13" s="550">
        <v>37353</v>
      </c>
      <c r="C13" s="535" t="s">
        <v>629</v>
      </c>
      <c r="D13" s="540">
        <f t="shared" si="0"/>
        <v>4000</v>
      </c>
    </row>
    <row r="14" spans="1:9" x14ac:dyDescent="0.3">
      <c r="A14" s="551" t="s">
        <v>620</v>
      </c>
      <c r="B14" s="550">
        <v>38566</v>
      </c>
      <c r="C14" s="535" t="s">
        <v>626</v>
      </c>
      <c r="D14" s="540">
        <f t="shared" si="0"/>
        <v>0</v>
      </c>
    </row>
  </sheetData>
  <sheetProtection password="E09F" sheet="1" formatCells="0" formatColumns="0" formatRows="0" insertColumns="0" insertRows="0" insertHyperlinks="0" deleteColumns="0" deleteRows="0" sort="0" autoFilter="0" pivotTables="0"/>
  <dataValidations count="1">
    <dataValidation type="list" allowBlank="1" showInputMessage="1" showErrorMessage="1" sqref="C6:C27">
      <formula1>$H$4:$H$7</formula1>
    </dataValidation>
  </dataValidations>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workbookViewId="0">
      <selection activeCell="B6" sqref="B6"/>
    </sheetView>
  </sheetViews>
  <sheetFormatPr defaultColWidth="9.109375" defaultRowHeight="15.6" x14ac:dyDescent="0.3"/>
  <cols>
    <col min="1" max="2" width="9.109375" style="142"/>
    <col min="3" max="3" width="22.44140625" style="142" customWidth="1"/>
    <col min="4" max="16384" width="9.109375" style="142"/>
  </cols>
  <sheetData>
    <row r="1" spans="1:11" ht="25.8" x14ac:dyDescent="0.5">
      <c r="A1" s="144" t="s">
        <v>2038</v>
      </c>
      <c r="K1" s="634" t="s">
        <v>3016</v>
      </c>
    </row>
    <row r="3" spans="1:11" x14ac:dyDescent="0.3">
      <c r="B3" s="688" t="s">
        <v>3018</v>
      </c>
      <c r="D3" s="688" t="s">
        <v>3021</v>
      </c>
    </row>
    <row r="4" spans="1:11" x14ac:dyDescent="0.3">
      <c r="B4" s="688" t="s">
        <v>3019</v>
      </c>
      <c r="D4" s="688" t="s">
        <v>3022</v>
      </c>
    </row>
    <row r="5" spans="1:11" ht="16.2" thickBot="1" x14ac:dyDescent="0.35">
      <c r="B5" s="255" t="s">
        <v>3020</v>
      </c>
      <c r="D5" s="255" t="s">
        <v>3023</v>
      </c>
    </row>
    <row r="6" spans="1:11" x14ac:dyDescent="0.3">
      <c r="B6" s="149">
        <f ca="1">RAND()</f>
        <v>0.91240121803941765</v>
      </c>
      <c r="D6" s="150">
        <f ca="1">B6*1000</f>
        <v>912.4012180394177</v>
      </c>
    </row>
    <row r="7" spans="1:11" x14ac:dyDescent="0.3">
      <c r="B7" s="149">
        <f t="shared" ref="B7:B15" ca="1" si="0">RAND()</f>
        <v>0.31137781505003348</v>
      </c>
      <c r="D7" s="150">
        <f t="shared" ref="D7:D15" ca="1" si="1">B7*1000</f>
        <v>311.37781505003346</v>
      </c>
    </row>
    <row r="8" spans="1:11" x14ac:dyDescent="0.3">
      <c r="B8" s="149">
        <f t="shared" ca="1" si="0"/>
        <v>0.59114378631192288</v>
      </c>
      <c r="D8" s="150">
        <f t="shared" ca="1" si="1"/>
        <v>591.1437863119229</v>
      </c>
    </row>
    <row r="9" spans="1:11" x14ac:dyDescent="0.3">
      <c r="B9" s="149">
        <f t="shared" ca="1" si="0"/>
        <v>8.799333194733383E-2</v>
      </c>
      <c r="D9" s="150">
        <f t="shared" ca="1" si="1"/>
        <v>87.993331947333829</v>
      </c>
    </row>
    <row r="10" spans="1:11" x14ac:dyDescent="0.3">
      <c r="B10" s="149">
        <f t="shared" ca="1" si="0"/>
        <v>0.97676911362526186</v>
      </c>
      <c r="D10" s="150">
        <f t="shared" ca="1" si="1"/>
        <v>976.76911362526187</v>
      </c>
    </row>
    <row r="11" spans="1:11" x14ac:dyDescent="0.3">
      <c r="B11" s="149">
        <f t="shared" ca="1" si="0"/>
        <v>0.53386634141771006</v>
      </c>
      <c r="D11" s="150">
        <f t="shared" ca="1" si="1"/>
        <v>533.86634141771003</v>
      </c>
    </row>
    <row r="12" spans="1:11" x14ac:dyDescent="0.3">
      <c r="B12" s="149">
        <f t="shared" ca="1" si="0"/>
        <v>0.61540298007731165</v>
      </c>
      <c r="D12" s="150">
        <f t="shared" ca="1" si="1"/>
        <v>615.40298007731167</v>
      </c>
    </row>
    <row r="13" spans="1:11" x14ac:dyDescent="0.3">
      <c r="B13" s="149">
        <f t="shared" ca="1" si="0"/>
        <v>0.5798276337189453</v>
      </c>
      <c r="D13" s="150">
        <f t="shared" ca="1" si="1"/>
        <v>579.82763371894532</v>
      </c>
    </row>
    <row r="14" spans="1:11" x14ac:dyDescent="0.3">
      <c r="B14" s="149">
        <f t="shared" ca="1" si="0"/>
        <v>0.94156648581729296</v>
      </c>
      <c r="D14" s="150">
        <f t="shared" ca="1" si="1"/>
        <v>941.56648581729291</v>
      </c>
    </row>
    <row r="15" spans="1:11" x14ac:dyDescent="0.3">
      <c r="B15" s="149">
        <f t="shared" ca="1" si="0"/>
        <v>0.77945693380177072</v>
      </c>
      <c r="D15" s="150">
        <f t="shared" ca="1" si="1"/>
        <v>779.45693380177067</v>
      </c>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showGridLines="0" workbookViewId="0">
      <selection activeCell="D9" sqref="D9"/>
    </sheetView>
  </sheetViews>
  <sheetFormatPr defaultColWidth="9.109375" defaultRowHeight="15.6" x14ac:dyDescent="0.3"/>
  <cols>
    <col min="1" max="1" width="9.109375" style="142"/>
    <col min="2" max="2" width="25.6640625" style="142" customWidth="1"/>
    <col min="3" max="3" width="13.5546875" style="142" customWidth="1"/>
    <col min="4" max="16384" width="9.109375" style="142"/>
  </cols>
  <sheetData>
    <row r="1" spans="1:13" ht="25.8" x14ac:dyDescent="0.5">
      <c r="A1" s="144" t="s">
        <v>2039</v>
      </c>
      <c r="M1" s="634" t="s">
        <v>3016</v>
      </c>
    </row>
    <row r="3" spans="1:13" x14ac:dyDescent="0.3">
      <c r="B3" s="142" t="s">
        <v>2040</v>
      </c>
      <c r="C3" s="685">
        <v>2291</v>
      </c>
    </row>
    <row r="4" spans="1:13" x14ac:dyDescent="0.3">
      <c r="B4" s="142" t="s">
        <v>2041</v>
      </c>
      <c r="C4" s="685">
        <v>6638</v>
      </c>
    </row>
    <row r="5" spans="1:13" x14ac:dyDescent="0.3">
      <c r="B5" s="142" t="s">
        <v>2042</v>
      </c>
      <c r="C5" s="687">
        <f>C4-C3</f>
        <v>4347</v>
      </c>
    </row>
    <row r="6" spans="1:13" x14ac:dyDescent="0.3">
      <c r="B6" s="145" t="s">
        <v>3017</v>
      </c>
      <c r="C6" s="687">
        <f>VLOOKUP(C5,E43:G68,3)</f>
        <v>98</v>
      </c>
    </row>
    <row r="9" spans="1:13" x14ac:dyDescent="0.3">
      <c r="C9" s="686">
        <v>1</v>
      </c>
      <c r="D9" s="142">
        <f ca="1">RANDBETWEEN($C$3,$C$4)</f>
        <v>3157</v>
      </c>
      <c r="E9" s="686">
        <f>C9+20</f>
        <v>21</v>
      </c>
      <c r="F9" s="142">
        <f t="shared" ref="F9" ca="1" si="0">RANDBETWEEN($C$3,$C$4)</f>
        <v>2749</v>
      </c>
      <c r="G9" s="686">
        <f>E9+20</f>
        <v>41</v>
      </c>
      <c r="H9" s="142">
        <f t="shared" ref="H9:H28" ca="1" si="1">RANDBETWEEN($C$3,$C$4)</f>
        <v>6002</v>
      </c>
      <c r="I9" s="686">
        <f>G9+20</f>
        <v>61</v>
      </c>
      <c r="J9" s="142">
        <f t="shared" ref="J9:J28" ca="1" si="2">RANDBETWEEN($C$3,$C$4)</f>
        <v>5253</v>
      </c>
      <c r="K9" s="686">
        <f>I9+20</f>
        <v>81</v>
      </c>
      <c r="L9" s="142">
        <f t="shared" ref="L9:L28" ca="1" si="3">RANDBETWEEN($C$3,$C$4)</f>
        <v>2446</v>
      </c>
    </row>
    <row r="10" spans="1:13" x14ac:dyDescent="0.3">
      <c r="C10" s="686">
        <v>2</v>
      </c>
      <c r="D10" s="142">
        <f t="shared" ref="D10:D28" ca="1" si="4">RANDBETWEEN($C$3,$C$4)</f>
        <v>5802</v>
      </c>
      <c r="E10" s="686">
        <f t="shared" ref="E10:K28" si="5">C10+20</f>
        <v>22</v>
      </c>
      <c r="F10" s="142">
        <f t="shared" ref="F10:F28" ca="1" si="6">RANDBETWEEN($C$3,$C$4)</f>
        <v>4580</v>
      </c>
      <c r="G10" s="686">
        <f t="shared" si="5"/>
        <v>42</v>
      </c>
      <c r="H10" s="142">
        <f t="shared" ca="1" si="1"/>
        <v>2319</v>
      </c>
      <c r="I10" s="686">
        <f t="shared" si="5"/>
        <v>62</v>
      </c>
      <c r="J10" s="142">
        <f t="shared" ca="1" si="2"/>
        <v>4565</v>
      </c>
      <c r="K10" s="686">
        <f t="shared" si="5"/>
        <v>82</v>
      </c>
      <c r="L10" s="142">
        <f t="shared" ca="1" si="3"/>
        <v>3577</v>
      </c>
    </row>
    <row r="11" spans="1:13" x14ac:dyDescent="0.3">
      <c r="C11" s="686">
        <v>3</v>
      </c>
      <c r="D11" s="142">
        <f t="shared" ca="1" si="4"/>
        <v>5728</v>
      </c>
      <c r="E11" s="686">
        <f t="shared" si="5"/>
        <v>23</v>
      </c>
      <c r="F11" s="142">
        <f t="shared" ca="1" si="6"/>
        <v>5661</v>
      </c>
      <c r="G11" s="686">
        <f t="shared" si="5"/>
        <v>43</v>
      </c>
      <c r="H11" s="142">
        <f t="shared" ca="1" si="1"/>
        <v>4486</v>
      </c>
      <c r="I11" s="686">
        <f t="shared" si="5"/>
        <v>63</v>
      </c>
      <c r="J11" s="142">
        <f t="shared" ca="1" si="2"/>
        <v>5739</v>
      </c>
      <c r="K11" s="686">
        <f t="shared" si="5"/>
        <v>83</v>
      </c>
      <c r="L11" s="142">
        <f t="shared" ca="1" si="3"/>
        <v>6622</v>
      </c>
    </row>
    <row r="12" spans="1:13" x14ac:dyDescent="0.3">
      <c r="C12" s="686">
        <v>4</v>
      </c>
      <c r="D12" s="142">
        <f t="shared" ca="1" si="4"/>
        <v>4588</v>
      </c>
      <c r="E12" s="686">
        <f t="shared" si="5"/>
        <v>24</v>
      </c>
      <c r="F12" s="142">
        <f t="shared" ca="1" si="6"/>
        <v>3154</v>
      </c>
      <c r="G12" s="686">
        <f t="shared" si="5"/>
        <v>44</v>
      </c>
      <c r="H12" s="142">
        <f t="shared" ca="1" si="1"/>
        <v>4793</v>
      </c>
      <c r="I12" s="686">
        <f t="shared" si="5"/>
        <v>64</v>
      </c>
      <c r="J12" s="142">
        <f t="shared" ca="1" si="2"/>
        <v>5221</v>
      </c>
      <c r="K12" s="686">
        <f t="shared" si="5"/>
        <v>84</v>
      </c>
      <c r="L12" s="142">
        <f t="shared" ca="1" si="3"/>
        <v>2372</v>
      </c>
    </row>
    <row r="13" spans="1:13" x14ac:dyDescent="0.3">
      <c r="C13" s="686">
        <v>5</v>
      </c>
      <c r="D13" s="142">
        <f t="shared" ca="1" si="4"/>
        <v>2748</v>
      </c>
      <c r="E13" s="686">
        <f t="shared" si="5"/>
        <v>25</v>
      </c>
      <c r="F13" s="142">
        <f t="shared" ca="1" si="6"/>
        <v>6544</v>
      </c>
      <c r="G13" s="686">
        <f t="shared" si="5"/>
        <v>45</v>
      </c>
      <c r="H13" s="142">
        <f t="shared" ca="1" si="1"/>
        <v>4585</v>
      </c>
      <c r="I13" s="686">
        <f t="shared" si="5"/>
        <v>65</v>
      </c>
      <c r="J13" s="142">
        <f t="shared" ca="1" si="2"/>
        <v>4903</v>
      </c>
      <c r="K13" s="686">
        <f t="shared" si="5"/>
        <v>85</v>
      </c>
      <c r="L13" s="142">
        <f t="shared" ca="1" si="3"/>
        <v>5988</v>
      </c>
    </row>
    <row r="14" spans="1:13" x14ac:dyDescent="0.3">
      <c r="C14" s="686">
        <v>6</v>
      </c>
      <c r="D14" s="142">
        <f t="shared" ca="1" si="4"/>
        <v>2563</v>
      </c>
      <c r="E14" s="686">
        <f t="shared" si="5"/>
        <v>26</v>
      </c>
      <c r="F14" s="142">
        <f t="shared" ca="1" si="6"/>
        <v>3574</v>
      </c>
      <c r="G14" s="686">
        <f t="shared" si="5"/>
        <v>46</v>
      </c>
      <c r="H14" s="142">
        <f t="shared" ca="1" si="1"/>
        <v>3729</v>
      </c>
      <c r="I14" s="686">
        <f t="shared" si="5"/>
        <v>66</v>
      </c>
      <c r="J14" s="142">
        <f t="shared" ca="1" si="2"/>
        <v>3297</v>
      </c>
      <c r="K14" s="686">
        <f t="shared" si="5"/>
        <v>86</v>
      </c>
      <c r="L14" s="142">
        <f t="shared" ca="1" si="3"/>
        <v>2818</v>
      </c>
    </row>
    <row r="15" spans="1:13" x14ac:dyDescent="0.3">
      <c r="C15" s="686">
        <v>7</v>
      </c>
      <c r="D15" s="142">
        <f t="shared" ca="1" si="4"/>
        <v>4635</v>
      </c>
      <c r="E15" s="686">
        <f t="shared" si="5"/>
        <v>27</v>
      </c>
      <c r="F15" s="142">
        <f t="shared" ca="1" si="6"/>
        <v>5499</v>
      </c>
      <c r="G15" s="686">
        <f t="shared" si="5"/>
        <v>47</v>
      </c>
      <c r="H15" s="142">
        <f t="shared" ca="1" si="1"/>
        <v>3721</v>
      </c>
      <c r="I15" s="686">
        <f t="shared" si="5"/>
        <v>67</v>
      </c>
      <c r="J15" s="142">
        <f t="shared" ca="1" si="2"/>
        <v>5660</v>
      </c>
      <c r="K15" s="686">
        <f t="shared" si="5"/>
        <v>87</v>
      </c>
      <c r="L15" s="142">
        <f t="shared" ca="1" si="3"/>
        <v>5760</v>
      </c>
    </row>
    <row r="16" spans="1:13" x14ac:dyDescent="0.3">
      <c r="C16" s="686">
        <v>8</v>
      </c>
      <c r="D16" s="142">
        <f t="shared" ca="1" si="4"/>
        <v>2691</v>
      </c>
      <c r="E16" s="686">
        <f t="shared" si="5"/>
        <v>28</v>
      </c>
      <c r="F16" s="142">
        <f t="shared" ca="1" si="6"/>
        <v>6187</v>
      </c>
      <c r="G16" s="686">
        <f t="shared" si="5"/>
        <v>48</v>
      </c>
      <c r="H16" s="142">
        <f t="shared" ca="1" si="1"/>
        <v>4042</v>
      </c>
      <c r="I16" s="686">
        <f t="shared" si="5"/>
        <v>68</v>
      </c>
      <c r="J16" s="142">
        <f t="shared" ca="1" si="2"/>
        <v>4424</v>
      </c>
      <c r="K16" s="686">
        <f t="shared" si="5"/>
        <v>88</v>
      </c>
      <c r="L16" s="142">
        <f t="shared" ca="1" si="3"/>
        <v>4403</v>
      </c>
    </row>
    <row r="17" spans="3:12" x14ac:dyDescent="0.3">
      <c r="C17" s="686">
        <v>9</v>
      </c>
      <c r="D17" s="142">
        <f t="shared" ca="1" si="4"/>
        <v>3191</v>
      </c>
      <c r="E17" s="686">
        <f t="shared" si="5"/>
        <v>29</v>
      </c>
      <c r="F17" s="142">
        <f t="shared" ca="1" si="6"/>
        <v>3819</v>
      </c>
      <c r="G17" s="686">
        <f t="shared" si="5"/>
        <v>49</v>
      </c>
      <c r="H17" s="142">
        <f t="shared" ca="1" si="1"/>
        <v>3204</v>
      </c>
      <c r="I17" s="686">
        <f t="shared" si="5"/>
        <v>69</v>
      </c>
      <c r="J17" s="142">
        <f t="shared" ca="1" si="2"/>
        <v>5951</v>
      </c>
      <c r="K17" s="686">
        <f t="shared" si="5"/>
        <v>89</v>
      </c>
      <c r="L17" s="142">
        <f t="shared" ca="1" si="3"/>
        <v>3129</v>
      </c>
    </row>
    <row r="18" spans="3:12" x14ac:dyDescent="0.3">
      <c r="C18" s="686">
        <v>10</v>
      </c>
      <c r="D18" s="142">
        <f t="shared" ca="1" si="4"/>
        <v>4846</v>
      </c>
      <c r="E18" s="686">
        <f t="shared" si="5"/>
        <v>30</v>
      </c>
      <c r="F18" s="142">
        <f t="shared" ca="1" si="6"/>
        <v>3659</v>
      </c>
      <c r="G18" s="686">
        <f t="shared" si="5"/>
        <v>50</v>
      </c>
      <c r="H18" s="142">
        <f t="shared" ca="1" si="1"/>
        <v>6459</v>
      </c>
      <c r="I18" s="686">
        <f t="shared" si="5"/>
        <v>70</v>
      </c>
      <c r="J18" s="142">
        <f t="shared" ca="1" si="2"/>
        <v>5728</v>
      </c>
      <c r="K18" s="686">
        <f t="shared" si="5"/>
        <v>90</v>
      </c>
      <c r="L18" s="142">
        <f t="shared" ca="1" si="3"/>
        <v>5662</v>
      </c>
    </row>
    <row r="19" spans="3:12" x14ac:dyDescent="0.3">
      <c r="C19" s="686">
        <v>11</v>
      </c>
      <c r="D19" s="142">
        <f t="shared" ca="1" si="4"/>
        <v>2348</v>
      </c>
      <c r="E19" s="686">
        <f t="shared" si="5"/>
        <v>31</v>
      </c>
      <c r="F19" s="142">
        <f t="shared" ca="1" si="6"/>
        <v>2769</v>
      </c>
      <c r="G19" s="686">
        <f t="shared" si="5"/>
        <v>51</v>
      </c>
      <c r="H19" s="142">
        <f t="shared" ca="1" si="1"/>
        <v>6524</v>
      </c>
      <c r="I19" s="686">
        <f t="shared" si="5"/>
        <v>71</v>
      </c>
      <c r="J19" s="142">
        <f t="shared" ca="1" si="2"/>
        <v>3761</v>
      </c>
      <c r="K19" s="686">
        <f t="shared" si="5"/>
        <v>91</v>
      </c>
      <c r="L19" s="142">
        <f t="shared" ca="1" si="3"/>
        <v>6159</v>
      </c>
    </row>
    <row r="20" spans="3:12" x14ac:dyDescent="0.3">
      <c r="C20" s="686">
        <v>12</v>
      </c>
      <c r="D20" s="142">
        <f t="shared" ca="1" si="4"/>
        <v>3210</v>
      </c>
      <c r="E20" s="686">
        <f t="shared" si="5"/>
        <v>32</v>
      </c>
      <c r="F20" s="142">
        <f t="shared" ca="1" si="6"/>
        <v>2741</v>
      </c>
      <c r="G20" s="686">
        <f t="shared" si="5"/>
        <v>52</v>
      </c>
      <c r="H20" s="142">
        <f t="shared" ca="1" si="1"/>
        <v>4077</v>
      </c>
      <c r="I20" s="686">
        <f t="shared" si="5"/>
        <v>72</v>
      </c>
      <c r="J20" s="142">
        <f t="shared" ca="1" si="2"/>
        <v>4507</v>
      </c>
      <c r="K20" s="686">
        <f t="shared" si="5"/>
        <v>92</v>
      </c>
      <c r="L20" s="142">
        <f t="shared" ca="1" si="3"/>
        <v>2742</v>
      </c>
    </row>
    <row r="21" spans="3:12" x14ac:dyDescent="0.3">
      <c r="C21" s="686">
        <v>13</v>
      </c>
      <c r="D21" s="142">
        <f t="shared" ca="1" si="4"/>
        <v>5266</v>
      </c>
      <c r="E21" s="686">
        <f t="shared" si="5"/>
        <v>33</v>
      </c>
      <c r="F21" s="142">
        <f t="shared" ca="1" si="6"/>
        <v>3615</v>
      </c>
      <c r="G21" s="686">
        <f t="shared" si="5"/>
        <v>53</v>
      </c>
      <c r="H21" s="142">
        <f t="shared" ca="1" si="1"/>
        <v>2945</v>
      </c>
      <c r="I21" s="686">
        <f t="shared" si="5"/>
        <v>73</v>
      </c>
      <c r="J21" s="142">
        <f t="shared" ca="1" si="2"/>
        <v>3422</v>
      </c>
      <c r="K21" s="686">
        <f t="shared" si="5"/>
        <v>93</v>
      </c>
      <c r="L21" s="142">
        <f t="shared" ca="1" si="3"/>
        <v>3659</v>
      </c>
    </row>
    <row r="22" spans="3:12" x14ac:dyDescent="0.3">
      <c r="C22" s="686">
        <v>14</v>
      </c>
      <c r="D22" s="142">
        <f t="shared" ca="1" si="4"/>
        <v>5150</v>
      </c>
      <c r="E22" s="686">
        <f t="shared" si="5"/>
        <v>34</v>
      </c>
      <c r="F22" s="142">
        <f t="shared" ca="1" si="6"/>
        <v>4950</v>
      </c>
      <c r="G22" s="686">
        <f t="shared" si="5"/>
        <v>54</v>
      </c>
      <c r="H22" s="142">
        <f t="shared" ca="1" si="1"/>
        <v>3932</v>
      </c>
      <c r="I22" s="686">
        <f t="shared" si="5"/>
        <v>74</v>
      </c>
      <c r="J22" s="142">
        <f t="shared" ca="1" si="2"/>
        <v>2982</v>
      </c>
      <c r="K22" s="686">
        <f t="shared" si="5"/>
        <v>94</v>
      </c>
      <c r="L22" s="142">
        <f t="shared" ca="1" si="3"/>
        <v>4855</v>
      </c>
    </row>
    <row r="23" spans="3:12" x14ac:dyDescent="0.3">
      <c r="C23" s="686">
        <v>15</v>
      </c>
      <c r="D23" s="142">
        <f t="shared" ca="1" si="4"/>
        <v>2948</v>
      </c>
      <c r="E23" s="686">
        <f t="shared" si="5"/>
        <v>35</v>
      </c>
      <c r="F23" s="142">
        <f t="shared" ca="1" si="6"/>
        <v>4340</v>
      </c>
      <c r="G23" s="686">
        <f t="shared" si="5"/>
        <v>55</v>
      </c>
      <c r="H23" s="142">
        <f t="shared" ca="1" si="1"/>
        <v>3439</v>
      </c>
      <c r="I23" s="686">
        <f t="shared" si="5"/>
        <v>75</v>
      </c>
      <c r="J23" s="142">
        <f t="shared" ca="1" si="2"/>
        <v>6140</v>
      </c>
      <c r="K23" s="686">
        <f t="shared" si="5"/>
        <v>95</v>
      </c>
      <c r="L23" s="142">
        <f t="shared" ca="1" si="3"/>
        <v>3161</v>
      </c>
    </row>
    <row r="24" spans="3:12" x14ac:dyDescent="0.3">
      <c r="C24" s="686">
        <v>16</v>
      </c>
      <c r="D24" s="142">
        <f t="shared" ca="1" si="4"/>
        <v>6192</v>
      </c>
      <c r="E24" s="686">
        <f t="shared" si="5"/>
        <v>36</v>
      </c>
      <c r="F24" s="142">
        <f t="shared" ca="1" si="6"/>
        <v>4952</v>
      </c>
      <c r="G24" s="686">
        <f t="shared" si="5"/>
        <v>56</v>
      </c>
      <c r="H24" s="142">
        <f t="shared" ca="1" si="1"/>
        <v>3562</v>
      </c>
      <c r="I24" s="686">
        <f t="shared" si="5"/>
        <v>76</v>
      </c>
      <c r="J24" s="142">
        <f t="shared" ca="1" si="2"/>
        <v>3654</v>
      </c>
      <c r="K24" s="686">
        <f t="shared" si="5"/>
        <v>96</v>
      </c>
      <c r="L24" s="142">
        <f t="shared" ca="1" si="3"/>
        <v>6155</v>
      </c>
    </row>
    <row r="25" spans="3:12" x14ac:dyDescent="0.3">
      <c r="C25" s="686">
        <v>17</v>
      </c>
      <c r="D25" s="142">
        <f t="shared" ca="1" si="4"/>
        <v>2423</v>
      </c>
      <c r="E25" s="686">
        <f t="shared" si="5"/>
        <v>37</v>
      </c>
      <c r="F25" s="142">
        <f t="shared" ca="1" si="6"/>
        <v>6058</v>
      </c>
      <c r="G25" s="686">
        <f t="shared" si="5"/>
        <v>57</v>
      </c>
      <c r="H25" s="142">
        <f t="shared" ca="1" si="1"/>
        <v>6320</v>
      </c>
      <c r="I25" s="686">
        <f t="shared" si="5"/>
        <v>77</v>
      </c>
      <c r="J25" s="142">
        <f t="shared" ca="1" si="2"/>
        <v>5232</v>
      </c>
      <c r="K25" s="686">
        <f t="shared" si="5"/>
        <v>97</v>
      </c>
      <c r="L25" s="142">
        <f t="shared" ca="1" si="3"/>
        <v>4567</v>
      </c>
    </row>
    <row r="26" spans="3:12" x14ac:dyDescent="0.3">
      <c r="C26" s="686">
        <v>18</v>
      </c>
      <c r="D26" s="142">
        <f t="shared" ca="1" si="4"/>
        <v>4699</v>
      </c>
      <c r="E26" s="686">
        <f t="shared" si="5"/>
        <v>38</v>
      </c>
      <c r="F26" s="142">
        <f t="shared" ca="1" si="6"/>
        <v>4069</v>
      </c>
      <c r="G26" s="686">
        <f t="shared" si="5"/>
        <v>58</v>
      </c>
      <c r="H26" s="142">
        <f t="shared" ca="1" si="1"/>
        <v>5727</v>
      </c>
      <c r="I26" s="686">
        <f t="shared" si="5"/>
        <v>78</v>
      </c>
      <c r="J26" s="142">
        <f t="shared" ca="1" si="2"/>
        <v>3085</v>
      </c>
      <c r="K26" s="686">
        <f t="shared" si="5"/>
        <v>98</v>
      </c>
      <c r="L26" s="142">
        <f t="shared" ca="1" si="3"/>
        <v>2343</v>
      </c>
    </row>
    <row r="27" spans="3:12" x14ac:dyDescent="0.3">
      <c r="C27" s="686">
        <v>19</v>
      </c>
      <c r="D27" s="142">
        <f t="shared" ca="1" si="4"/>
        <v>3969</v>
      </c>
      <c r="E27" s="686">
        <f t="shared" si="5"/>
        <v>39</v>
      </c>
      <c r="F27" s="142">
        <f t="shared" ca="1" si="6"/>
        <v>6492</v>
      </c>
      <c r="G27" s="686">
        <f t="shared" si="5"/>
        <v>59</v>
      </c>
      <c r="H27" s="142">
        <f t="shared" ca="1" si="1"/>
        <v>3520</v>
      </c>
      <c r="I27" s="686">
        <f t="shared" si="5"/>
        <v>79</v>
      </c>
      <c r="J27" s="142">
        <f t="shared" ca="1" si="2"/>
        <v>4376</v>
      </c>
      <c r="K27" s="686">
        <f t="shared" si="5"/>
        <v>99</v>
      </c>
      <c r="L27" s="142">
        <f t="shared" ca="1" si="3"/>
        <v>6610</v>
      </c>
    </row>
    <row r="28" spans="3:12" x14ac:dyDescent="0.3">
      <c r="C28" s="686">
        <v>20</v>
      </c>
      <c r="D28" s="142">
        <f t="shared" ca="1" si="4"/>
        <v>3282</v>
      </c>
      <c r="E28" s="686">
        <f t="shared" si="5"/>
        <v>40</v>
      </c>
      <c r="F28" s="142">
        <f t="shared" ca="1" si="6"/>
        <v>2554</v>
      </c>
      <c r="G28" s="686">
        <f t="shared" si="5"/>
        <v>60</v>
      </c>
      <c r="H28" s="142">
        <f t="shared" ca="1" si="1"/>
        <v>6458</v>
      </c>
      <c r="I28" s="686">
        <f t="shared" si="5"/>
        <v>80</v>
      </c>
      <c r="J28" s="142">
        <f t="shared" ca="1" si="2"/>
        <v>2841</v>
      </c>
      <c r="K28" s="686">
        <f t="shared" si="5"/>
        <v>100</v>
      </c>
      <c r="L28" s="142">
        <f t="shared" ca="1" si="3"/>
        <v>4838</v>
      </c>
    </row>
    <row r="38" spans="2:7" x14ac:dyDescent="0.3">
      <c r="B38" s="142" t="s">
        <v>2047</v>
      </c>
    </row>
    <row r="40" spans="2:7" x14ac:dyDescent="0.3">
      <c r="B40" s="728" t="s">
        <v>2044</v>
      </c>
      <c r="C40" s="729"/>
      <c r="D40" s="729"/>
      <c r="E40" s="729"/>
      <c r="F40" s="729"/>
      <c r="G40" s="730"/>
    </row>
    <row r="41" spans="2:7" x14ac:dyDescent="0.3">
      <c r="B41" s="731" t="s">
        <v>2045</v>
      </c>
      <c r="C41" s="732"/>
      <c r="D41" s="732"/>
      <c r="E41" s="732"/>
      <c r="F41" s="732"/>
      <c r="G41" s="733"/>
    </row>
    <row r="42" spans="2:7" x14ac:dyDescent="0.3">
      <c r="B42" s="146"/>
      <c r="C42" s="734" t="s">
        <v>2043</v>
      </c>
      <c r="D42" s="735"/>
      <c r="E42" s="146"/>
      <c r="F42" s="734" t="s">
        <v>2043</v>
      </c>
      <c r="G42" s="735"/>
    </row>
    <row r="43" spans="2:7" ht="24.6" x14ac:dyDescent="0.3">
      <c r="B43" s="147" t="s">
        <v>2046</v>
      </c>
      <c r="C43" s="148">
        <v>0.05</v>
      </c>
      <c r="D43" s="148">
        <v>0.1</v>
      </c>
      <c r="E43" s="147" t="s">
        <v>2046</v>
      </c>
      <c r="F43" s="148">
        <v>0.05</v>
      </c>
      <c r="G43" s="148">
        <v>0.1</v>
      </c>
    </row>
    <row r="44" spans="2:7" x14ac:dyDescent="0.3">
      <c r="B44" s="146">
        <v>10</v>
      </c>
      <c r="C44" s="146">
        <v>10</v>
      </c>
      <c r="D44" s="146"/>
      <c r="E44" s="146">
        <v>275</v>
      </c>
      <c r="F44" s="146">
        <v>163</v>
      </c>
      <c r="G44" s="146">
        <v>74</v>
      </c>
    </row>
    <row r="45" spans="2:7" x14ac:dyDescent="0.3">
      <c r="B45" s="146">
        <v>15</v>
      </c>
      <c r="C45" s="146">
        <v>14</v>
      </c>
      <c r="D45" s="146"/>
      <c r="E45" s="146">
        <v>300</v>
      </c>
      <c r="F45" s="146">
        <v>172</v>
      </c>
      <c r="G45" s="146">
        <v>76</v>
      </c>
    </row>
    <row r="46" spans="2:7" x14ac:dyDescent="0.3">
      <c r="B46" s="146">
        <v>20</v>
      </c>
      <c r="C46" s="146">
        <v>19</v>
      </c>
      <c r="D46" s="146"/>
      <c r="E46" s="146">
        <v>325</v>
      </c>
      <c r="F46" s="146">
        <v>180</v>
      </c>
      <c r="G46" s="146">
        <v>77</v>
      </c>
    </row>
    <row r="47" spans="2:7" x14ac:dyDescent="0.3">
      <c r="B47" s="146">
        <v>25</v>
      </c>
      <c r="C47" s="146">
        <v>24</v>
      </c>
      <c r="D47" s="146"/>
      <c r="E47" s="146">
        <v>350</v>
      </c>
      <c r="F47" s="146">
        <v>187</v>
      </c>
      <c r="G47" s="146">
        <v>78</v>
      </c>
    </row>
    <row r="48" spans="2:7" x14ac:dyDescent="0.3">
      <c r="B48" s="146">
        <v>30</v>
      </c>
      <c r="C48" s="146">
        <v>28</v>
      </c>
      <c r="D48" s="146"/>
      <c r="E48" s="146">
        <v>375</v>
      </c>
      <c r="F48" s="146">
        <v>194</v>
      </c>
      <c r="G48" s="146">
        <v>80</v>
      </c>
    </row>
    <row r="49" spans="2:7" x14ac:dyDescent="0.3">
      <c r="B49" s="146">
        <v>35</v>
      </c>
      <c r="C49" s="146">
        <v>32</v>
      </c>
      <c r="D49" s="146"/>
      <c r="E49" s="146">
        <v>400</v>
      </c>
      <c r="F49" s="146">
        <v>201</v>
      </c>
      <c r="G49" s="146">
        <v>81</v>
      </c>
    </row>
    <row r="50" spans="2:7" x14ac:dyDescent="0.3">
      <c r="B50" s="146">
        <v>40</v>
      </c>
      <c r="C50" s="146">
        <v>36</v>
      </c>
      <c r="D50" s="146"/>
      <c r="E50" s="146">
        <v>425</v>
      </c>
      <c r="F50" s="146">
        <v>207</v>
      </c>
      <c r="G50" s="146">
        <v>82</v>
      </c>
    </row>
    <row r="51" spans="2:7" x14ac:dyDescent="0.3">
      <c r="B51" s="146">
        <v>45</v>
      </c>
      <c r="C51" s="146">
        <v>40</v>
      </c>
      <c r="D51" s="146"/>
      <c r="E51" s="146">
        <v>450</v>
      </c>
      <c r="F51" s="146">
        <v>212</v>
      </c>
      <c r="G51" s="146">
        <v>82</v>
      </c>
    </row>
    <row r="52" spans="2:7" x14ac:dyDescent="0.3">
      <c r="B52" s="146">
        <v>50</v>
      </c>
      <c r="C52" s="146">
        <v>44</v>
      </c>
      <c r="D52" s="146"/>
      <c r="E52" s="146">
        <v>475</v>
      </c>
      <c r="F52" s="146">
        <v>218</v>
      </c>
      <c r="G52" s="146">
        <v>83</v>
      </c>
    </row>
    <row r="53" spans="2:7" x14ac:dyDescent="0.3">
      <c r="B53" s="146">
        <v>55</v>
      </c>
      <c r="C53" s="146">
        <v>48</v>
      </c>
      <c r="D53" s="146"/>
      <c r="E53" s="146">
        <v>500</v>
      </c>
      <c r="F53" s="146">
        <v>222</v>
      </c>
      <c r="G53" s="146">
        <v>83</v>
      </c>
    </row>
    <row r="54" spans="2:7" x14ac:dyDescent="0.3">
      <c r="B54" s="146">
        <v>60</v>
      </c>
      <c r="C54" s="146">
        <v>52</v>
      </c>
      <c r="D54" s="146"/>
      <c r="E54" s="146">
        <v>1000</v>
      </c>
      <c r="F54" s="146">
        <v>286</v>
      </c>
      <c r="G54" s="146">
        <v>91</v>
      </c>
    </row>
    <row r="55" spans="2:7" x14ac:dyDescent="0.3">
      <c r="B55" s="146">
        <v>65</v>
      </c>
      <c r="C55" s="146">
        <v>56</v>
      </c>
      <c r="D55" s="146"/>
      <c r="E55" s="146">
        <v>2000</v>
      </c>
      <c r="F55" s="146">
        <v>333</v>
      </c>
      <c r="G55" s="146">
        <v>95</v>
      </c>
    </row>
    <row r="56" spans="2:7" x14ac:dyDescent="0.3">
      <c r="B56" s="146">
        <v>70</v>
      </c>
      <c r="C56" s="146">
        <v>59</v>
      </c>
      <c r="D56" s="146"/>
      <c r="E56" s="146">
        <v>3000</v>
      </c>
      <c r="F56" s="146">
        <v>353</v>
      </c>
      <c r="G56" s="146">
        <v>97</v>
      </c>
    </row>
    <row r="57" spans="2:7" x14ac:dyDescent="0.3">
      <c r="B57" s="146">
        <v>75</v>
      </c>
      <c r="C57" s="146">
        <v>63</v>
      </c>
      <c r="D57" s="146"/>
      <c r="E57" s="146">
        <v>4000</v>
      </c>
      <c r="F57" s="146">
        <v>364</v>
      </c>
      <c r="G57" s="146">
        <v>98</v>
      </c>
    </row>
    <row r="58" spans="2:7" x14ac:dyDescent="0.3">
      <c r="B58" s="146">
        <v>80</v>
      </c>
      <c r="C58" s="146">
        <v>66</v>
      </c>
      <c r="D58" s="146"/>
      <c r="E58" s="146">
        <v>5000</v>
      </c>
      <c r="F58" s="146">
        <v>370</v>
      </c>
      <c r="G58" s="146">
        <v>98</v>
      </c>
    </row>
    <row r="59" spans="2:7" x14ac:dyDescent="0.3">
      <c r="B59" s="146">
        <v>85</v>
      </c>
      <c r="C59" s="146">
        <v>70</v>
      </c>
      <c r="D59" s="146"/>
      <c r="E59" s="146">
        <v>6000</v>
      </c>
      <c r="F59" s="146">
        <v>375</v>
      </c>
      <c r="G59" s="146">
        <v>98</v>
      </c>
    </row>
    <row r="60" spans="2:7" x14ac:dyDescent="0.3">
      <c r="B60" s="146">
        <v>90</v>
      </c>
      <c r="C60" s="146">
        <v>73</v>
      </c>
      <c r="D60" s="146"/>
      <c r="E60" s="146">
        <v>7000</v>
      </c>
      <c r="F60" s="146">
        <v>378</v>
      </c>
      <c r="G60" s="146">
        <v>99</v>
      </c>
    </row>
    <row r="61" spans="2:7" x14ac:dyDescent="0.3">
      <c r="B61" s="146">
        <v>95</v>
      </c>
      <c r="C61" s="146">
        <v>76</v>
      </c>
      <c r="D61" s="146"/>
      <c r="E61" s="146">
        <v>8000</v>
      </c>
      <c r="F61" s="146">
        <v>381</v>
      </c>
      <c r="G61" s="146">
        <v>99</v>
      </c>
    </row>
    <row r="62" spans="2:7" x14ac:dyDescent="0.3">
      <c r="B62" s="146">
        <v>100</v>
      </c>
      <c r="C62" s="146">
        <v>81</v>
      </c>
      <c r="D62" s="146">
        <v>51</v>
      </c>
      <c r="E62" s="146">
        <v>9000</v>
      </c>
      <c r="F62" s="146">
        <v>383</v>
      </c>
      <c r="G62" s="146">
        <v>99</v>
      </c>
    </row>
    <row r="63" spans="2:7" x14ac:dyDescent="0.3">
      <c r="B63" s="146">
        <v>125</v>
      </c>
      <c r="C63" s="146">
        <v>96</v>
      </c>
      <c r="D63" s="146">
        <v>56</v>
      </c>
      <c r="E63" s="146">
        <v>10000</v>
      </c>
      <c r="F63" s="146">
        <v>385</v>
      </c>
      <c r="G63" s="146">
        <v>99</v>
      </c>
    </row>
    <row r="64" spans="2:7" x14ac:dyDescent="0.3">
      <c r="B64" s="146">
        <v>150</v>
      </c>
      <c r="C64" s="146">
        <v>110</v>
      </c>
      <c r="D64" s="146">
        <v>61</v>
      </c>
      <c r="E64" s="146">
        <v>15000</v>
      </c>
      <c r="F64" s="146">
        <v>390</v>
      </c>
      <c r="G64" s="146">
        <v>99</v>
      </c>
    </row>
    <row r="65" spans="2:7" x14ac:dyDescent="0.3">
      <c r="B65" s="146">
        <v>175</v>
      </c>
      <c r="C65" s="146">
        <v>122</v>
      </c>
      <c r="D65" s="146">
        <v>64</v>
      </c>
      <c r="E65" s="146">
        <v>20000</v>
      </c>
      <c r="F65" s="146">
        <v>392</v>
      </c>
      <c r="G65" s="146">
        <v>100</v>
      </c>
    </row>
    <row r="66" spans="2:7" x14ac:dyDescent="0.3">
      <c r="B66" s="146">
        <v>200</v>
      </c>
      <c r="C66" s="146">
        <v>134</v>
      </c>
      <c r="D66" s="146">
        <v>67</v>
      </c>
      <c r="E66" s="146">
        <v>25000</v>
      </c>
      <c r="F66" s="146">
        <v>394</v>
      </c>
      <c r="G66" s="146">
        <v>100</v>
      </c>
    </row>
    <row r="67" spans="2:7" x14ac:dyDescent="0.3">
      <c r="B67" s="146">
        <v>225</v>
      </c>
      <c r="C67" s="146">
        <v>144</v>
      </c>
      <c r="D67" s="146">
        <v>70</v>
      </c>
      <c r="E67" s="146">
        <v>50000</v>
      </c>
      <c r="F67" s="146">
        <v>397</v>
      </c>
      <c r="G67" s="146">
        <v>100</v>
      </c>
    </row>
    <row r="68" spans="2:7" x14ac:dyDescent="0.3">
      <c r="B68" s="146">
        <v>250</v>
      </c>
      <c r="C68" s="146">
        <v>154</v>
      </c>
      <c r="D68" s="146">
        <v>72</v>
      </c>
      <c r="E68" s="146">
        <v>100000</v>
      </c>
      <c r="F68" s="146">
        <v>398</v>
      </c>
      <c r="G68" s="146">
        <v>100</v>
      </c>
    </row>
  </sheetData>
  <mergeCells count="4">
    <mergeCell ref="B40:G40"/>
    <mergeCell ref="B41:G41"/>
    <mergeCell ref="C42:D42"/>
    <mergeCell ref="F42:G42"/>
  </mergeCells>
  <hyperlinks>
    <hyperlink ref="B6" r:id="rId1" display="Sample Size"/>
  </hyperlinks>
  <pageMargins left="0.7" right="0.7" top="0.75" bottom="0.75" header="0.3" footer="0.3"/>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election activeCell="C4" sqref="C4"/>
    </sheetView>
  </sheetViews>
  <sheetFormatPr defaultColWidth="9.109375" defaultRowHeight="15.6" x14ac:dyDescent="0.3"/>
  <cols>
    <col min="1" max="1" width="16.5546875" style="142" customWidth="1"/>
    <col min="2" max="2" width="9.109375" style="142"/>
    <col min="3" max="3" width="47.44140625" style="142" customWidth="1"/>
    <col min="4" max="16384" width="9.109375" style="142"/>
  </cols>
  <sheetData>
    <row r="1" spans="1:5" ht="23.4" x14ac:dyDescent="0.45">
      <c r="A1" s="33" t="s">
        <v>2048</v>
      </c>
      <c r="E1" s="634" t="s">
        <v>3016</v>
      </c>
    </row>
    <row r="4" spans="1:5" x14ac:dyDescent="0.3">
      <c r="B4" s="143">
        <f ca="1">RAND()</f>
        <v>0.60048865717321886</v>
      </c>
      <c r="C4" s="142" t="str">
        <f ca="1">REPT(CHAR(7),B4*30)</f>
        <v>_x0007__x0007__x0007__x0007__x0007__x0007__x0007__x0007__x0007__x0007__x0007__x0007__x0007__x0007__x0007__x0007__x0007__x0007_</v>
      </c>
    </row>
    <row r="5" spans="1:5" x14ac:dyDescent="0.3">
      <c r="B5" s="143">
        <f t="shared" ref="B5:B20" ca="1" si="0">RAND()</f>
        <v>0.36490701291481964</v>
      </c>
      <c r="C5" s="142" t="str">
        <f t="shared" ref="C5:C20" ca="1" si="1">REPT(CHAR(7),B5*30)</f>
        <v>_x0007__x0007__x0007__x0007__x0007__x0007__x0007__x0007__x0007__x0007_</v>
      </c>
    </row>
    <row r="6" spans="1:5" x14ac:dyDescent="0.3">
      <c r="B6" s="143">
        <f t="shared" ca="1" si="0"/>
        <v>0.73348516875396053</v>
      </c>
      <c r="C6" s="142" t="str">
        <f t="shared" ca="1" si="1"/>
        <v>_x0007__x0007__x0007__x0007__x0007__x0007__x0007__x0007__x0007__x0007__x0007__x0007__x0007__x0007__x0007__x0007__x0007__x0007__x0007__x0007__x0007__x0007_</v>
      </c>
    </row>
    <row r="7" spans="1:5" x14ac:dyDescent="0.3">
      <c r="B7" s="143">
        <f t="shared" ca="1" si="0"/>
        <v>0.45209067683596482</v>
      </c>
      <c r="C7" s="142" t="str">
        <f t="shared" ca="1" si="1"/>
        <v>_x0007__x0007__x0007__x0007__x0007__x0007__x0007__x0007__x0007__x0007__x0007__x0007__x0007_</v>
      </c>
    </row>
    <row r="8" spans="1:5" x14ac:dyDescent="0.3">
      <c r="B8" s="143">
        <f t="shared" ca="1" si="0"/>
        <v>7.3588681095306807E-2</v>
      </c>
      <c r="C8" s="142" t="str">
        <f t="shared" ca="1" si="1"/>
        <v>_x0007__x0007_</v>
      </c>
    </row>
    <row r="9" spans="1:5" x14ac:dyDescent="0.3">
      <c r="B9" s="143">
        <f t="shared" ca="1" si="0"/>
        <v>0.25453130803411472</v>
      </c>
      <c r="C9" s="142" t="str">
        <f t="shared" ca="1" si="1"/>
        <v>_x0007__x0007__x0007__x0007__x0007__x0007__x0007_</v>
      </c>
    </row>
    <row r="10" spans="1:5" x14ac:dyDescent="0.3">
      <c r="B10" s="143">
        <f t="shared" ca="1" si="0"/>
        <v>0.67952358124662227</v>
      </c>
      <c r="C10" s="142" t="str">
        <f t="shared" ca="1" si="1"/>
        <v>_x0007__x0007__x0007__x0007__x0007__x0007__x0007__x0007__x0007__x0007__x0007__x0007__x0007__x0007__x0007__x0007__x0007__x0007__x0007__x0007_</v>
      </c>
    </row>
    <row r="11" spans="1:5" x14ac:dyDescent="0.3">
      <c r="B11" s="143">
        <f t="shared" ca="1" si="0"/>
        <v>5.456585139317649E-2</v>
      </c>
      <c r="C11" s="142" t="str">
        <f t="shared" ca="1" si="1"/>
        <v>_x0007_</v>
      </c>
    </row>
    <row r="12" spans="1:5" x14ac:dyDescent="0.3">
      <c r="B12" s="143">
        <f t="shared" ca="1" si="0"/>
        <v>0.93199857385370766</v>
      </c>
      <c r="C12" s="142" t="str">
        <f t="shared" ca="1" si="1"/>
        <v>_x0007__x0007__x0007__x0007__x0007__x0007__x0007__x0007__x0007__x0007__x0007__x0007__x0007__x0007__x0007__x0007__x0007__x0007__x0007__x0007__x0007__x0007__x0007__x0007__x0007__x0007__x0007_</v>
      </c>
    </row>
    <row r="13" spans="1:5" x14ac:dyDescent="0.3">
      <c r="B13" s="143">
        <f t="shared" ca="1" si="0"/>
        <v>0.47726485180575051</v>
      </c>
      <c r="C13" s="142" t="str">
        <f t="shared" ca="1" si="1"/>
        <v>_x0007__x0007__x0007__x0007__x0007__x0007__x0007__x0007__x0007__x0007__x0007__x0007__x0007__x0007_</v>
      </c>
    </row>
    <row r="14" spans="1:5" x14ac:dyDescent="0.3">
      <c r="B14" s="143">
        <f t="shared" ca="1" si="0"/>
        <v>0.40274009855955784</v>
      </c>
      <c r="C14" s="142" t="str">
        <f t="shared" ca="1" si="1"/>
        <v>_x0007__x0007__x0007__x0007__x0007__x0007__x0007__x0007__x0007__x0007__x0007__x0007_</v>
      </c>
    </row>
    <row r="15" spans="1:5" x14ac:dyDescent="0.3">
      <c r="B15" s="143">
        <f t="shared" ca="1" si="0"/>
        <v>6.5430310707783268E-2</v>
      </c>
      <c r="C15" s="142" t="str">
        <f t="shared" ca="1" si="1"/>
        <v>_x0007_</v>
      </c>
    </row>
    <row r="16" spans="1:5" x14ac:dyDescent="0.3">
      <c r="B16" s="143">
        <f t="shared" ca="1" si="0"/>
        <v>0.78484245600684865</v>
      </c>
      <c r="C16" s="142" t="str">
        <f t="shared" ca="1" si="1"/>
        <v>_x0007__x0007__x0007__x0007__x0007__x0007__x0007__x0007__x0007__x0007__x0007__x0007__x0007__x0007__x0007__x0007__x0007__x0007__x0007__x0007__x0007__x0007__x0007_</v>
      </c>
    </row>
    <row r="17" spans="2:3" x14ac:dyDescent="0.3">
      <c r="B17" s="143">
        <f t="shared" ca="1" si="0"/>
        <v>0.24970773243325872</v>
      </c>
      <c r="C17" s="142" t="str">
        <f t="shared" ca="1" si="1"/>
        <v>_x0007__x0007__x0007__x0007__x0007__x0007__x0007_</v>
      </c>
    </row>
    <row r="18" spans="2:3" x14ac:dyDescent="0.3">
      <c r="B18" s="143">
        <f t="shared" ca="1" si="0"/>
        <v>4.3854922553576481E-2</v>
      </c>
      <c r="C18" s="142" t="str">
        <f t="shared" ca="1" si="1"/>
        <v>_x0007_</v>
      </c>
    </row>
    <row r="19" spans="2:3" x14ac:dyDescent="0.3">
      <c r="B19" s="143">
        <f t="shared" ca="1" si="0"/>
        <v>0.4563067343205901</v>
      </c>
      <c r="C19" s="142" t="str">
        <f t="shared" ca="1" si="1"/>
        <v>_x0007__x0007__x0007__x0007__x0007__x0007__x0007__x0007__x0007__x0007__x0007__x0007__x0007_</v>
      </c>
    </row>
    <row r="20" spans="2:3" x14ac:dyDescent="0.3">
      <c r="B20" s="143">
        <f t="shared" ca="1" si="0"/>
        <v>0.67192903583272323</v>
      </c>
      <c r="C20" s="142" t="str">
        <f t="shared" ca="1" si="1"/>
        <v>_x0007__x0007__x0007__x0007__x0007__x0007__x0007__x0007__x0007__x0007__x0007__x0007__x0007__x0007__x0007__x0007__x0007__x0007__x0007__x0007_</v>
      </c>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GridLines="0" zoomScale="85" zoomScaleNormal="85" workbookViewId="0">
      <selection activeCell="F9" sqref="F9"/>
    </sheetView>
  </sheetViews>
  <sheetFormatPr defaultColWidth="9.109375" defaultRowHeight="24.6" x14ac:dyDescent="0.4"/>
  <cols>
    <col min="1" max="1" width="3.44140625" style="3" customWidth="1"/>
    <col min="2" max="2" width="7.33203125" style="114" customWidth="1"/>
    <col min="3" max="3" width="22.33203125" style="3" customWidth="1"/>
    <col min="4" max="4" width="15.88671875" style="3" customWidth="1"/>
    <col min="5" max="5" width="8.44140625" style="3" customWidth="1"/>
    <col min="6" max="6" width="27.88671875" style="3" customWidth="1"/>
    <col min="7" max="7" width="19.6640625" style="3" customWidth="1"/>
    <col min="8" max="9" width="15.88671875" style="3" customWidth="1"/>
    <col min="10" max="10" width="11.5546875" style="3" customWidth="1"/>
    <col min="11" max="26" width="10.33203125" style="3" customWidth="1"/>
    <col min="27" max="29" width="10" style="3" customWidth="1"/>
    <col min="30" max="16384" width="9.109375" style="3"/>
  </cols>
  <sheetData>
    <row r="1" spans="1:10" ht="30" x14ac:dyDescent="0.5">
      <c r="A1" s="113" t="s">
        <v>1758</v>
      </c>
      <c r="I1" s="114"/>
      <c r="J1" s="633" t="s">
        <v>3016</v>
      </c>
    </row>
    <row r="2" spans="1:10" ht="30" x14ac:dyDescent="0.5">
      <c r="A2" s="113" t="s">
        <v>458</v>
      </c>
      <c r="F2" s="116" t="s">
        <v>266</v>
      </c>
      <c r="G2" s="684">
        <v>34000</v>
      </c>
      <c r="I2" s="114"/>
    </row>
    <row r="3" spans="1:10" x14ac:dyDescent="0.4">
      <c r="B3" s="3"/>
      <c r="F3" s="116" t="s">
        <v>3015</v>
      </c>
      <c r="G3" s="684">
        <v>200</v>
      </c>
    </row>
    <row r="4" spans="1:10" x14ac:dyDescent="0.4">
      <c r="B4" s="3"/>
      <c r="F4" s="116" t="s">
        <v>1919</v>
      </c>
      <c r="G4" s="684">
        <v>5</v>
      </c>
      <c r="H4" s="139" t="s">
        <v>1837</v>
      </c>
    </row>
    <row r="5" spans="1:10" x14ac:dyDescent="0.4">
      <c r="B5" s="3"/>
      <c r="F5" s="116"/>
      <c r="G5" s="139"/>
      <c r="H5" s="140"/>
    </row>
    <row r="6" spans="1:10" ht="14.4" x14ac:dyDescent="0.3">
      <c r="B6" s="3"/>
    </row>
    <row r="7" spans="1:10" ht="14.4" x14ac:dyDescent="0.3">
      <c r="B7" s="3"/>
    </row>
    <row r="8" spans="1:10" ht="14.4" x14ac:dyDescent="0.3">
      <c r="B8" s="3"/>
    </row>
    <row r="9" spans="1:10" x14ac:dyDescent="0.4">
      <c r="B9" s="3"/>
      <c r="C9" s="114" t="s">
        <v>1920</v>
      </c>
      <c r="F9" s="141">
        <f>SLN(G2,G3,G4)</f>
        <v>6760</v>
      </c>
    </row>
    <row r="10" spans="1:10" ht="14.4" x14ac:dyDescent="0.3">
      <c r="B10" s="3"/>
    </row>
    <row r="11" spans="1:10" ht="14.4" x14ac:dyDescent="0.3">
      <c r="B11" s="3"/>
    </row>
    <row r="12" spans="1:10" ht="14.4" x14ac:dyDescent="0.3">
      <c r="B12" s="3"/>
    </row>
    <row r="13" spans="1:10" ht="14.4" x14ac:dyDescent="0.3">
      <c r="B13" s="3"/>
    </row>
    <row r="14" spans="1:10" ht="14.4" x14ac:dyDescent="0.3">
      <c r="B14" s="3"/>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showGridLines="0" zoomScale="70" zoomScaleNormal="70" workbookViewId="0">
      <selection activeCell="F9" sqref="F9"/>
    </sheetView>
  </sheetViews>
  <sheetFormatPr defaultColWidth="9.109375" defaultRowHeight="24.6" x14ac:dyDescent="0.4"/>
  <cols>
    <col min="1" max="1" width="3.44140625" style="3" customWidth="1"/>
    <col min="2" max="2" width="7.33203125" style="114" customWidth="1"/>
    <col min="3" max="3" width="22.33203125" style="3" customWidth="1"/>
    <col min="4" max="4" width="15.88671875" style="3" customWidth="1"/>
    <col min="5" max="5" width="8.44140625" style="3" customWidth="1"/>
    <col min="6" max="6" width="27.88671875" style="3" customWidth="1"/>
    <col min="7" max="7" width="20.33203125" style="3" customWidth="1"/>
    <col min="8" max="9" width="15.88671875" style="3" customWidth="1"/>
    <col min="10" max="10" width="11.5546875" style="3" customWidth="1"/>
    <col min="11" max="26" width="10.33203125" style="3" customWidth="1"/>
    <col min="27" max="29" width="10" style="3" customWidth="1"/>
    <col min="30" max="16384" width="9.109375" style="3"/>
  </cols>
  <sheetData>
    <row r="1" spans="1:13" ht="30" x14ac:dyDescent="0.5">
      <c r="A1" s="113" t="s">
        <v>1758</v>
      </c>
      <c r="I1" s="114"/>
      <c r="M1" s="633" t="s">
        <v>3016</v>
      </c>
    </row>
    <row r="2" spans="1:13" ht="30" x14ac:dyDescent="0.5">
      <c r="A2" s="113" t="s">
        <v>460</v>
      </c>
      <c r="F2" s="116" t="s">
        <v>266</v>
      </c>
      <c r="G2" s="684">
        <v>34000</v>
      </c>
      <c r="I2" s="114"/>
    </row>
    <row r="3" spans="1:13" x14ac:dyDescent="0.4">
      <c r="B3" s="3"/>
      <c r="F3" s="116" t="s">
        <v>3015</v>
      </c>
      <c r="G3" s="684">
        <v>200</v>
      </c>
    </row>
    <row r="4" spans="1:13" x14ac:dyDescent="0.4">
      <c r="B4" s="3"/>
      <c r="F4" s="116" t="s">
        <v>1919</v>
      </c>
      <c r="G4" s="684">
        <v>5</v>
      </c>
      <c r="H4" s="139" t="s">
        <v>1837</v>
      </c>
    </row>
    <row r="5" spans="1:13" x14ac:dyDescent="0.4">
      <c r="B5" s="3"/>
      <c r="F5" s="116" t="s">
        <v>1921</v>
      </c>
      <c r="G5" s="684">
        <v>1</v>
      </c>
      <c r="H5" s="140" t="s">
        <v>3014</v>
      </c>
    </row>
    <row r="6" spans="1:13" ht="14.4" x14ac:dyDescent="0.3">
      <c r="B6" s="3"/>
    </row>
    <row r="7" spans="1:13" ht="14.4" x14ac:dyDescent="0.3">
      <c r="B7" s="3"/>
    </row>
    <row r="8" spans="1:13" ht="14.4" x14ac:dyDescent="0.3">
      <c r="B8" s="3"/>
    </row>
    <row r="9" spans="1:13" x14ac:dyDescent="0.4">
      <c r="B9" s="3"/>
      <c r="C9" s="114" t="s">
        <v>3013</v>
      </c>
      <c r="F9" s="141">
        <f>SYD(G2,G3,G4,G5)</f>
        <v>11266.666666666666</v>
      </c>
    </row>
    <row r="10" spans="1:13" ht="14.4" x14ac:dyDescent="0.3">
      <c r="B10" s="3"/>
    </row>
    <row r="11" spans="1:13" ht="14.4" x14ac:dyDescent="0.3">
      <c r="B11" s="3"/>
    </row>
    <row r="12" spans="1:13" ht="14.4" x14ac:dyDescent="0.3">
      <c r="B12" s="3"/>
    </row>
    <row r="13" spans="1:13" ht="14.4" x14ac:dyDescent="0.3">
      <c r="B13" s="3"/>
    </row>
    <row r="14" spans="1:13" ht="14.4" x14ac:dyDescent="0.3">
      <c r="B14" s="3"/>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GridLines="0" zoomScale="85" zoomScaleNormal="85" workbookViewId="0">
      <selection activeCell="F9" sqref="F9"/>
    </sheetView>
  </sheetViews>
  <sheetFormatPr defaultColWidth="9.109375" defaultRowHeight="24.6" x14ac:dyDescent="0.4"/>
  <cols>
    <col min="1" max="1" width="3.44140625" style="3" customWidth="1"/>
    <col min="2" max="2" width="7.33203125" style="114" customWidth="1"/>
    <col min="3" max="3" width="22.33203125" style="3" customWidth="1"/>
    <col min="4" max="4" width="15.88671875" style="3" customWidth="1"/>
    <col min="5" max="5" width="8.44140625" style="3" customWidth="1"/>
    <col min="6" max="6" width="27.88671875" style="3" customWidth="1"/>
    <col min="7" max="7" width="19.44140625" style="3" customWidth="1"/>
    <col min="8" max="9" width="15.88671875" style="3" customWidth="1"/>
    <col min="10" max="10" width="11.5546875" style="3" customWidth="1"/>
    <col min="11" max="26" width="10.33203125" style="3" customWidth="1"/>
    <col min="27" max="29" width="10" style="3" customWidth="1"/>
    <col min="30" max="16384" width="9.109375" style="3"/>
  </cols>
  <sheetData>
    <row r="1" spans="1:10" ht="30" x14ac:dyDescent="0.5">
      <c r="A1" s="113" t="s">
        <v>1758</v>
      </c>
      <c r="I1" s="114"/>
      <c r="J1" s="633" t="s">
        <v>3016</v>
      </c>
    </row>
    <row r="2" spans="1:10" ht="30" x14ac:dyDescent="0.5">
      <c r="A2" s="113" t="s">
        <v>449</v>
      </c>
      <c r="F2" s="116" t="s">
        <v>266</v>
      </c>
      <c r="G2" s="684">
        <v>34000</v>
      </c>
      <c r="I2" s="114"/>
    </row>
    <row r="3" spans="1:10" x14ac:dyDescent="0.4">
      <c r="B3" s="3"/>
      <c r="F3" s="116" t="s">
        <v>3015</v>
      </c>
      <c r="G3" s="684">
        <v>200</v>
      </c>
    </row>
    <row r="4" spans="1:10" x14ac:dyDescent="0.4">
      <c r="B4" s="3"/>
      <c r="F4" s="116" t="s">
        <v>1919</v>
      </c>
      <c r="G4" s="684">
        <v>5</v>
      </c>
      <c r="H4" s="139" t="s">
        <v>1837</v>
      </c>
    </row>
    <row r="5" spans="1:10" x14ac:dyDescent="0.4">
      <c r="B5" s="3"/>
      <c r="F5" s="116" t="s">
        <v>1921</v>
      </c>
      <c r="G5" s="684">
        <v>1</v>
      </c>
      <c r="H5" s="140" t="s">
        <v>3014</v>
      </c>
    </row>
    <row r="6" spans="1:10" ht="14.4" x14ac:dyDescent="0.3">
      <c r="B6" s="3"/>
    </row>
    <row r="7" spans="1:10" ht="14.4" x14ac:dyDescent="0.3">
      <c r="B7" s="3"/>
    </row>
    <row r="8" spans="1:10" ht="14.4" x14ac:dyDescent="0.3">
      <c r="B8" s="3"/>
    </row>
    <row r="9" spans="1:10" x14ac:dyDescent="0.4">
      <c r="B9" s="3"/>
      <c r="C9" s="114" t="s">
        <v>3013</v>
      </c>
      <c r="F9" s="141">
        <f>DDB(G2,G3,G4,G5)</f>
        <v>13600</v>
      </c>
    </row>
    <row r="10" spans="1:10" ht="14.4" x14ac:dyDescent="0.3">
      <c r="B10" s="3"/>
    </row>
    <row r="11" spans="1:10" ht="14.4" x14ac:dyDescent="0.3">
      <c r="B11" s="3"/>
    </row>
    <row r="12" spans="1:10" ht="14.4" x14ac:dyDescent="0.3">
      <c r="B12" s="3"/>
    </row>
    <row r="13" spans="1:10" ht="14.4" x14ac:dyDescent="0.3">
      <c r="B13" s="3"/>
    </row>
    <row r="14" spans="1:10" ht="14.4" x14ac:dyDescent="0.3">
      <c r="B14" s="3"/>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
  <sheetViews>
    <sheetView showGridLines="0" workbookViewId="0">
      <selection activeCell="B5" sqref="B5:G12"/>
    </sheetView>
  </sheetViews>
  <sheetFormatPr defaultColWidth="9.109375" defaultRowHeight="24.6" x14ac:dyDescent="0.4"/>
  <cols>
    <col min="1" max="1" width="3.44140625" style="3" customWidth="1"/>
    <col min="2" max="2" width="18.33203125" style="114" customWidth="1"/>
    <col min="3" max="7" width="15.88671875" style="3" customWidth="1"/>
    <col min="8" max="8" width="22.6640625" style="3" customWidth="1"/>
    <col min="9" max="9" width="15.88671875" style="3" customWidth="1"/>
    <col min="10" max="10" width="1.88671875" style="3" customWidth="1"/>
    <col min="11" max="26" width="10.33203125" style="3" customWidth="1"/>
    <col min="27" max="29" width="10" style="3" customWidth="1"/>
    <col min="30" max="16384" width="9.109375" style="3"/>
  </cols>
  <sheetData>
    <row r="1" spans="1:10" ht="30" x14ac:dyDescent="0.5">
      <c r="A1" s="113" t="s">
        <v>1758</v>
      </c>
      <c r="I1" s="114" t="s">
        <v>264</v>
      </c>
    </row>
    <row r="2" spans="1:10" ht="30" x14ac:dyDescent="0.5">
      <c r="A2" s="113" t="s">
        <v>419</v>
      </c>
      <c r="I2" s="311" t="s">
        <v>1792</v>
      </c>
    </row>
    <row r="3" spans="1:10" x14ac:dyDescent="0.4">
      <c r="A3" s="19"/>
      <c r="B3" s="118"/>
      <c r="I3" s="114">
        <f>DGET(B8:G12,G8,I1:I2)</f>
        <v>2</v>
      </c>
    </row>
    <row r="5" spans="1:10" ht="17.399999999999999" x14ac:dyDescent="0.3">
      <c r="B5" s="119" t="s">
        <v>1770</v>
      </c>
      <c r="C5" s="120"/>
      <c r="D5" s="120"/>
      <c r="E5" s="120"/>
      <c r="F5" s="121"/>
      <c r="G5" s="121"/>
      <c r="H5" s="121"/>
      <c r="I5" s="120"/>
      <c r="J5" s="122"/>
    </row>
    <row r="6" spans="1:10" ht="17.399999999999999" x14ac:dyDescent="0.3">
      <c r="B6" s="123" t="s">
        <v>3012</v>
      </c>
      <c r="C6" s="124"/>
      <c r="D6" s="124"/>
      <c r="E6" s="124"/>
      <c r="F6" s="125"/>
      <c r="G6" s="125"/>
      <c r="H6" s="125"/>
      <c r="I6" s="124"/>
      <c r="J6" s="126"/>
    </row>
    <row r="7" spans="1:10" ht="17.399999999999999" hidden="1" x14ac:dyDescent="0.3">
      <c r="B7" s="127"/>
      <c r="C7" s="128"/>
      <c r="D7" s="128"/>
      <c r="E7" s="128"/>
      <c r="F7" s="129"/>
      <c r="G7" s="129"/>
      <c r="H7" s="129"/>
      <c r="I7" s="128"/>
    </row>
    <row r="8" spans="1:10" ht="39" customHeight="1" thickBot="1" x14ac:dyDescent="0.35">
      <c r="B8" s="130" t="s">
        <v>264</v>
      </c>
      <c r="C8" s="131" t="s">
        <v>1771</v>
      </c>
      <c r="D8" s="131" t="s">
        <v>1772</v>
      </c>
      <c r="E8" s="132" t="s">
        <v>1773</v>
      </c>
      <c r="F8" s="133" t="s">
        <v>1774</v>
      </c>
      <c r="G8" s="133" t="s">
        <v>1775</v>
      </c>
    </row>
    <row r="9" spans="1:10" ht="18" customHeight="1" x14ac:dyDescent="0.3">
      <c r="B9" s="134" t="s">
        <v>1778</v>
      </c>
      <c r="C9" s="135">
        <v>47520</v>
      </c>
      <c r="D9" s="135">
        <v>45619.199999999997</v>
      </c>
      <c r="E9" s="135">
        <f>C9-D9</f>
        <v>1900.8000000000029</v>
      </c>
      <c r="F9" s="136">
        <v>0.247</v>
      </c>
      <c r="G9" s="137">
        <v>6</v>
      </c>
    </row>
    <row r="10" spans="1:10" ht="18" customHeight="1" x14ac:dyDescent="0.3">
      <c r="B10" s="134" t="s">
        <v>1779</v>
      </c>
      <c r="C10" s="135">
        <v>91463.039999999994</v>
      </c>
      <c r="D10" s="135">
        <v>72255.801599999992</v>
      </c>
      <c r="E10" s="135">
        <f>C10-D10</f>
        <v>19207.238400000002</v>
      </c>
      <c r="F10" s="136">
        <v>0.35599999999999998</v>
      </c>
      <c r="G10" s="137">
        <v>8</v>
      </c>
    </row>
    <row r="11" spans="1:10" ht="18" customHeight="1" x14ac:dyDescent="0.3">
      <c r="B11" s="134" t="s">
        <v>1792</v>
      </c>
      <c r="C11" s="135">
        <v>90305.279999999999</v>
      </c>
      <c r="D11" s="135">
        <v>70438.118399999992</v>
      </c>
      <c r="E11" s="135">
        <f>C11-D11</f>
        <v>19867.161600000007</v>
      </c>
      <c r="F11" s="138">
        <v>0.26500000000000001</v>
      </c>
      <c r="G11" s="137">
        <v>2</v>
      </c>
    </row>
    <row r="12" spans="1:10" ht="18" customHeight="1" x14ac:dyDescent="0.3">
      <c r="B12" s="134" t="s">
        <v>1791</v>
      </c>
      <c r="C12" s="135">
        <v>519480</v>
      </c>
      <c r="D12" s="135">
        <v>441558</v>
      </c>
      <c r="E12" s="135">
        <f>C12-D12</f>
        <v>77922</v>
      </c>
      <c r="F12" s="136">
        <v>0.39800000000000002</v>
      </c>
      <c r="G12" s="137">
        <v>6</v>
      </c>
    </row>
    <row r="13" spans="1:10" ht="14.4" x14ac:dyDescent="0.3">
      <c r="B13" s="3"/>
    </row>
    <row r="14" spans="1:10" ht="14.4" x14ac:dyDescent="0.3">
      <c r="B14" s="3"/>
    </row>
    <row r="15" spans="1:10" ht="14.4" x14ac:dyDescent="0.3">
      <c r="B15" s="3"/>
    </row>
    <row r="16" spans="1:10" ht="14.4" x14ac:dyDescent="0.3">
      <c r="B16" s="3"/>
    </row>
    <row r="17" spans="2:2" ht="14.4" x14ac:dyDescent="0.3">
      <c r="B17" s="633" t="s">
        <v>3016</v>
      </c>
    </row>
    <row r="18" spans="2:2" ht="14.4" x14ac:dyDescent="0.3">
      <c r="B18" s="3"/>
    </row>
    <row r="19" spans="2:2" ht="14.4" x14ac:dyDescent="0.3">
      <c r="B19" s="3"/>
    </row>
    <row r="20" spans="2:2" ht="14.4" x14ac:dyDescent="0.3">
      <c r="B20" s="3"/>
    </row>
    <row r="21" spans="2:2" ht="14.4" x14ac:dyDescent="0.3">
      <c r="B21" s="3"/>
    </row>
    <row r="22" spans="2:2" ht="14.4" x14ac:dyDescent="0.3">
      <c r="B22" s="3"/>
    </row>
    <row r="23" spans="2:2" ht="14.4" x14ac:dyDescent="0.3">
      <c r="B23" s="3"/>
    </row>
    <row r="24" spans="2:2" ht="14.4" x14ac:dyDescent="0.3">
      <c r="B24" s="3"/>
    </row>
    <row r="25" spans="2:2" ht="14.4" x14ac:dyDescent="0.3">
      <c r="B25" s="3"/>
    </row>
    <row r="26" spans="2:2" ht="14.4" x14ac:dyDescent="0.3">
      <c r="B26" s="3"/>
    </row>
    <row r="27" spans="2:2" ht="14.4" x14ac:dyDescent="0.3">
      <c r="B27" s="3"/>
    </row>
    <row r="28" spans="2:2" ht="14.4" x14ac:dyDescent="0.3">
      <c r="B28" s="3"/>
    </row>
    <row r="29" spans="2:2" ht="14.4" x14ac:dyDescent="0.3">
      <c r="B29" s="3"/>
    </row>
    <row r="30" spans="2:2" ht="14.4" x14ac:dyDescent="0.3">
      <c r="B30" s="3"/>
    </row>
    <row r="31" spans="2:2" ht="14.4" x14ac:dyDescent="0.3">
      <c r="B31" s="3"/>
    </row>
    <row r="32" spans="2:2" ht="14.4" x14ac:dyDescent="0.3">
      <c r="B32" s="3"/>
    </row>
    <row r="33" spans="2:2" ht="14.4" x14ac:dyDescent="0.3">
      <c r="B33" s="3"/>
    </row>
    <row r="34" spans="2:2" ht="14.4" x14ac:dyDescent="0.3">
      <c r="B34" s="3"/>
    </row>
    <row r="35" spans="2:2" ht="14.4" x14ac:dyDescent="0.3">
      <c r="B35" s="3"/>
    </row>
    <row r="36" spans="2:2" ht="14.4" x14ac:dyDescent="0.3">
      <c r="B36" s="3"/>
    </row>
    <row r="37" spans="2:2" ht="14.4" x14ac:dyDescent="0.3">
      <c r="B37" s="3"/>
    </row>
    <row r="38" spans="2:2" ht="14.4" x14ac:dyDescent="0.3">
      <c r="B38" s="3"/>
    </row>
    <row r="39" spans="2:2" ht="14.4" x14ac:dyDescent="0.3">
      <c r="B39" s="3"/>
    </row>
    <row r="40" spans="2:2" ht="14.4" x14ac:dyDescent="0.3">
      <c r="B40" s="3"/>
    </row>
    <row r="41" spans="2:2" ht="14.4" x14ac:dyDescent="0.3">
      <c r="B41" s="3"/>
    </row>
    <row r="42" spans="2:2" ht="14.4" x14ac:dyDescent="0.3">
      <c r="B42" s="3"/>
    </row>
    <row r="43" spans="2:2" ht="14.4" x14ac:dyDescent="0.3">
      <c r="B43" s="3"/>
    </row>
    <row r="44" spans="2:2" ht="14.4" x14ac:dyDescent="0.3">
      <c r="B44" s="3"/>
    </row>
    <row r="45" spans="2:2" ht="14.4" x14ac:dyDescent="0.3">
      <c r="B45" s="3"/>
    </row>
    <row r="46" spans="2:2" ht="14.4" x14ac:dyDescent="0.3">
      <c r="B46" s="3"/>
    </row>
    <row r="47" spans="2:2" ht="14.4" x14ac:dyDescent="0.3">
      <c r="B47" s="3"/>
    </row>
    <row r="48" spans="2:2" ht="14.4" x14ac:dyDescent="0.3">
      <c r="B48" s="3"/>
    </row>
    <row r="49" spans="2:2" ht="14.4" x14ac:dyDescent="0.3">
      <c r="B49" s="3"/>
    </row>
    <row r="50" spans="2:2" ht="14.4" x14ac:dyDescent="0.3">
      <c r="B50" s="3"/>
    </row>
    <row r="51" spans="2:2" ht="14.4" x14ac:dyDescent="0.3">
      <c r="B51" s="3"/>
    </row>
    <row r="52" spans="2:2" ht="14.4" x14ac:dyDescent="0.3">
      <c r="B52" s="3"/>
    </row>
    <row r="53" spans="2:2" ht="14.4" x14ac:dyDescent="0.3">
      <c r="B53" s="3"/>
    </row>
    <row r="54" spans="2:2" ht="14.4" x14ac:dyDescent="0.3">
      <c r="B54" s="3"/>
    </row>
    <row r="55" spans="2:2" ht="14.4" x14ac:dyDescent="0.3">
      <c r="B55" s="3"/>
    </row>
    <row r="56" spans="2:2" ht="14.4" x14ac:dyDescent="0.3">
      <c r="B56" s="3"/>
    </row>
    <row r="57" spans="2:2" ht="14.4" x14ac:dyDescent="0.3">
      <c r="B57" s="3"/>
    </row>
    <row r="58" spans="2:2" ht="14.4" x14ac:dyDescent="0.3">
      <c r="B58" s="3"/>
    </row>
    <row r="59" spans="2:2" ht="14.4" x14ac:dyDescent="0.3">
      <c r="B59" s="3"/>
    </row>
    <row r="60" spans="2:2" ht="14.4" x14ac:dyDescent="0.3">
      <c r="B60" s="3"/>
    </row>
    <row r="61" spans="2:2" ht="14.4" x14ac:dyDescent="0.3">
      <c r="B61" s="3"/>
    </row>
    <row r="62" spans="2:2" ht="14.4" x14ac:dyDescent="0.3">
      <c r="B62" s="3"/>
    </row>
    <row r="63" spans="2:2" ht="14.4" x14ac:dyDescent="0.3">
      <c r="B63" s="3"/>
    </row>
    <row r="64" spans="2:2" ht="14.4" x14ac:dyDescent="0.3">
      <c r="B64" s="3"/>
    </row>
    <row r="65" spans="2:2" ht="14.4" x14ac:dyDescent="0.3">
      <c r="B65" s="3"/>
    </row>
    <row r="66" spans="2:2" ht="14.4" x14ac:dyDescent="0.3">
      <c r="B66" s="3"/>
    </row>
    <row r="67" spans="2:2" ht="14.4" x14ac:dyDescent="0.3">
      <c r="B67" s="3"/>
    </row>
    <row r="68" spans="2:2" ht="14.4" x14ac:dyDescent="0.3">
      <c r="B68" s="3"/>
    </row>
    <row r="69" spans="2:2" ht="14.4" x14ac:dyDescent="0.3">
      <c r="B69" s="3"/>
    </row>
    <row r="70" spans="2:2" ht="14.4" x14ac:dyDescent="0.3">
      <c r="B70" s="3"/>
    </row>
    <row r="71" spans="2:2" ht="14.4" x14ac:dyDescent="0.3">
      <c r="B71" s="3"/>
    </row>
    <row r="72" spans="2:2" ht="14.4" x14ac:dyDescent="0.3">
      <c r="B72" s="3"/>
    </row>
    <row r="73" spans="2:2" ht="14.4" x14ac:dyDescent="0.3">
      <c r="B73" s="3"/>
    </row>
    <row r="74" spans="2:2" ht="14.4" x14ac:dyDescent="0.3">
      <c r="B74" s="3"/>
    </row>
    <row r="75" spans="2:2" ht="14.4" x14ac:dyDescent="0.3">
      <c r="B75" s="3"/>
    </row>
    <row r="76" spans="2:2" ht="14.4" x14ac:dyDescent="0.3">
      <c r="B76" s="3"/>
    </row>
    <row r="77" spans="2:2" ht="14.4" x14ac:dyDescent="0.3">
      <c r="B77" s="3"/>
    </row>
    <row r="78" spans="2:2" ht="14.4" x14ac:dyDescent="0.3">
      <c r="B78" s="3"/>
    </row>
    <row r="79" spans="2:2" ht="14.4" x14ac:dyDescent="0.3">
      <c r="B79" s="3"/>
    </row>
    <row r="80" spans="2:2" ht="14.4" x14ac:dyDescent="0.3">
      <c r="B80" s="3"/>
    </row>
    <row r="81" spans="2:2" ht="14.4" x14ac:dyDescent="0.3">
      <c r="B81" s="3"/>
    </row>
    <row r="82" spans="2:2" ht="14.4" x14ac:dyDescent="0.3">
      <c r="B82" s="3"/>
    </row>
    <row r="83" spans="2:2" ht="14.4" x14ac:dyDescent="0.3">
      <c r="B83" s="3"/>
    </row>
    <row r="84" spans="2:2" ht="14.4" x14ac:dyDescent="0.3">
      <c r="B84" s="3"/>
    </row>
    <row r="85" spans="2:2" ht="14.4" x14ac:dyDescent="0.3">
      <c r="B85" s="3"/>
    </row>
    <row r="86" spans="2:2" ht="14.4" x14ac:dyDescent="0.3">
      <c r="B86" s="3"/>
    </row>
    <row r="87" spans="2:2" ht="14.4" x14ac:dyDescent="0.3">
      <c r="B87" s="3"/>
    </row>
    <row r="88" spans="2:2" ht="14.4" x14ac:dyDescent="0.3">
      <c r="B88" s="3"/>
    </row>
    <row r="89" spans="2:2" ht="14.4" x14ac:dyDescent="0.3">
      <c r="B89" s="3"/>
    </row>
    <row r="90" spans="2:2" ht="14.4" x14ac:dyDescent="0.3">
      <c r="B90" s="3"/>
    </row>
    <row r="91" spans="2:2" ht="14.4" x14ac:dyDescent="0.3">
      <c r="B91" s="3"/>
    </row>
    <row r="92" spans="2:2" ht="14.4" x14ac:dyDescent="0.3">
      <c r="B92" s="3"/>
    </row>
    <row r="93" spans="2:2" ht="14.4" x14ac:dyDescent="0.3">
      <c r="B93" s="3"/>
    </row>
    <row r="94" spans="2:2" ht="14.4" x14ac:dyDescent="0.3">
      <c r="B94" s="3"/>
    </row>
    <row r="95" spans="2:2" ht="14.4" x14ac:dyDescent="0.3">
      <c r="B95" s="3"/>
    </row>
    <row r="96" spans="2:2" ht="14.4" x14ac:dyDescent="0.3">
      <c r="B96" s="3"/>
    </row>
    <row r="97" spans="2:2" ht="14.4" x14ac:dyDescent="0.3">
      <c r="B97" s="3"/>
    </row>
    <row r="98" spans="2:2" ht="14.4" x14ac:dyDescent="0.3">
      <c r="B98" s="3"/>
    </row>
    <row r="99" spans="2:2" ht="14.4" x14ac:dyDescent="0.3">
      <c r="B99" s="3"/>
    </row>
    <row r="100" spans="2:2" ht="14.4" x14ac:dyDescent="0.3">
      <c r="B100" s="3"/>
    </row>
    <row r="101" spans="2:2" ht="14.4" x14ac:dyDescent="0.3">
      <c r="B101" s="3"/>
    </row>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showGridLines="0" workbookViewId="0">
      <selection activeCell="G30" sqref="G30"/>
    </sheetView>
  </sheetViews>
  <sheetFormatPr defaultRowHeight="14.4" x14ac:dyDescent="0.3"/>
  <cols>
    <col min="2" max="2" width="14.88671875" bestFit="1" customWidth="1"/>
    <col min="3" max="3" width="14.6640625" bestFit="1" customWidth="1"/>
    <col min="4" max="4" width="16.33203125" bestFit="1" customWidth="1"/>
    <col min="5" max="5" width="11.5546875" bestFit="1" customWidth="1"/>
    <col min="7" max="7" width="8.5546875" bestFit="1" customWidth="1"/>
  </cols>
  <sheetData>
    <row r="1" spans="1:13" ht="25.8" x14ac:dyDescent="0.5">
      <c r="A1" s="693" t="s">
        <v>3032</v>
      </c>
    </row>
    <row r="4" spans="1:13" ht="17.399999999999999" x14ac:dyDescent="0.3">
      <c r="B4" s="119" t="s">
        <v>1770</v>
      </c>
      <c r="C4" s="120"/>
      <c r="D4" s="120"/>
      <c r="E4" s="120"/>
      <c r="F4" s="121"/>
      <c r="G4" s="121"/>
      <c r="I4" s="691" t="s">
        <v>3033</v>
      </c>
      <c r="M4" s="694" t="str">
        <f>ADDRESS(13,3)</f>
        <v>$C$13</v>
      </c>
    </row>
    <row r="5" spans="1:13" ht="17.399999999999999" x14ac:dyDescent="0.3">
      <c r="B5" s="123" t="s">
        <v>3012</v>
      </c>
      <c r="C5" s="124"/>
      <c r="D5" s="124"/>
      <c r="E5" s="124"/>
      <c r="F5" s="125"/>
      <c r="G5" s="125"/>
    </row>
    <row r="6" spans="1:13" ht="17.399999999999999" x14ac:dyDescent="0.3">
      <c r="B6" s="127"/>
      <c r="C6" s="128"/>
      <c r="D6" s="128"/>
      <c r="E6" s="128"/>
      <c r="F6" s="129"/>
      <c r="G6" s="129"/>
    </row>
    <row r="7" spans="1:13" ht="52.8" thickBot="1" x14ac:dyDescent="0.35">
      <c r="B7" s="130" t="s">
        <v>264</v>
      </c>
      <c r="C7" s="131" t="s">
        <v>1771</v>
      </c>
      <c r="D7" s="131" t="s">
        <v>1772</v>
      </c>
      <c r="E7" s="132" t="s">
        <v>1773</v>
      </c>
      <c r="F7" s="133" t="s">
        <v>1774</v>
      </c>
      <c r="G7" s="133" t="s">
        <v>1775</v>
      </c>
    </row>
    <row r="8" spans="1:13" ht="17.399999999999999" x14ac:dyDescent="0.3">
      <c r="B8" s="134" t="s">
        <v>1778</v>
      </c>
      <c r="C8" s="135">
        <v>47520</v>
      </c>
      <c r="D8" s="135">
        <v>45619.199999999997</v>
      </c>
      <c r="E8" s="135">
        <f>C8-D8</f>
        <v>1900.8000000000029</v>
      </c>
      <c r="F8" s="136">
        <v>0.247</v>
      </c>
      <c r="G8" s="137">
        <v>6</v>
      </c>
    </row>
    <row r="9" spans="1:13" ht="17.399999999999999" x14ac:dyDescent="0.3">
      <c r="B9" s="134" t="s">
        <v>1779</v>
      </c>
      <c r="C9" s="135">
        <v>91463.039999999994</v>
      </c>
      <c r="D9" s="135">
        <v>72255.801599999992</v>
      </c>
      <c r="E9" s="135">
        <f>C9-D9</f>
        <v>19207.238400000002</v>
      </c>
      <c r="F9" s="136">
        <v>0.35599999999999998</v>
      </c>
      <c r="G9" s="137">
        <v>8</v>
      </c>
    </row>
    <row r="10" spans="1:13" ht="17.399999999999999" x14ac:dyDescent="0.3">
      <c r="B10" s="134" t="s">
        <v>1792</v>
      </c>
      <c r="C10" s="135">
        <v>90305.279999999999</v>
      </c>
      <c r="D10" s="135">
        <v>70438.118399999992</v>
      </c>
      <c r="E10" s="135">
        <f>C10-D10</f>
        <v>19867.161600000007</v>
      </c>
      <c r="F10" s="138">
        <v>0.26500000000000001</v>
      </c>
      <c r="G10" s="137">
        <v>2</v>
      </c>
    </row>
    <row r="11" spans="1:13" ht="17.399999999999999" x14ac:dyDescent="0.3">
      <c r="B11" s="134" t="s">
        <v>1791</v>
      </c>
      <c r="C11" s="135">
        <v>519480</v>
      </c>
      <c r="D11" s="135">
        <v>441558</v>
      </c>
      <c r="E11" s="135">
        <f>C11-D11</f>
        <v>77922</v>
      </c>
      <c r="F11" s="136">
        <v>0.39800000000000002</v>
      </c>
      <c r="G11" s="137">
        <v>6</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workbookViewId="0">
      <selection activeCell="F9" sqref="F9"/>
    </sheetView>
  </sheetViews>
  <sheetFormatPr defaultRowHeight="14.4" x14ac:dyDescent="0.3"/>
  <cols>
    <col min="2" max="2" width="12.5546875" customWidth="1"/>
    <col min="4" max="4" width="12.5546875" customWidth="1"/>
    <col min="6" max="6" width="12.5546875" customWidth="1"/>
  </cols>
  <sheetData>
    <row r="1" spans="1:12" ht="25.8" x14ac:dyDescent="0.5">
      <c r="A1" s="693" t="s">
        <v>3034</v>
      </c>
    </row>
    <row r="3" spans="1:12" ht="21.6" thickBot="1" x14ac:dyDescent="0.45">
      <c r="B3" s="696" t="s">
        <v>523</v>
      </c>
      <c r="C3" s="696"/>
      <c r="D3" s="696" t="s">
        <v>521</v>
      </c>
      <c r="E3" s="696"/>
      <c r="F3" s="696" t="s">
        <v>2637</v>
      </c>
      <c r="G3" s="697"/>
      <c r="H3" s="697"/>
      <c r="I3" s="697"/>
      <c r="J3" s="697"/>
      <c r="K3" s="697"/>
      <c r="L3" s="697"/>
    </row>
    <row r="4" spans="1:12" ht="21" x14ac:dyDescent="0.4">
      <c r="B4" s="697">
        <v>5</v>
      </c>
      <c r="C4" s="697"/>
      <c r="D4" s="697">
        <v>5</v>
      </c>
      <c r="E4" s="697"/>
      <c r="F4" s="697">
        <v>5</v>
      </c>
      <c r="G4" s="697"/>
      <c r="H4" s="697"/>
      <c r="I4" s="697"/>
      <c r="J4" s="697"/>
      <c r="K4" s="697"/>
      <c r="L4" s="697"/>
    </row>
    <row r="5" spans="1:12" ht="21" x14ac:dyDescent="0.4">
      <c r="B5" s="697">
        <v>5</v>
      </c>
      <c r="C5" s="697"/>
      <c r="D5" s="697">
        <v>5</v>
      </c>
      <c r="E5" s="697"/>
      <c r="F5" s="697">
        <v>5</v>
      </c>
      <c r="G5" s="697"/>
      <c r="H5" s="697"/>
      <c r="I5" s="697"/>
      <c r="J5" s="697"/>
      <c r="K5" s="697"/>
      <c r="L5" s="697"/>
    </row>
    <row r="6" spans="1:12" ht="21" x14ac:dyDescent="0.4">
      <c r="B6" s="697">
        <v>5</v>
      </c>
      <c r="C6" s="697"/>
      <c r="D6" s="697">
        <v>5</v>
      </c>
      <c r="E6" s="697"/>
      <c r="F6" s="697">
        <v>5</v>
      </c>
      <c r="G6" s="697"/>
      <c r="H6" s="697"/>
      <c r="I6" s="697"/>
      <c r="J6" s="697"/>
      <c r="K6" s="697"/>
      <c r="L6" s="697"/>
    </row>
    <row r="7" spans="1:12" ht="21" x14ac:dyDescent="0.4">
      <c r="B7" s="697">
        <v>5</v>
      </c>
      <c r="C7" s="697"/>
      <c r="D7" s="697">
        <v>5</v>
      </c>
      <c r="E7" s="697"/>
      <c r="F7" s="697">
        <v>5</v>
      </c>
      <c r="G7" s="697"/>
      <c r="H7" s="697"/>
      <c r="I7" s="697"/>
      <c r="J7" s="697"/>
      <c r="K7" s="697"/>
      <c r="L7" s="697"/>
    </row>
    <row r="8" spans="1:12" ht="21" x14ac:dyDescent="0.4">
      <c r="B8" s="697">
        <v>5</v>
      </c>
      <c r="C8" s="697"/>
      <c r="D8" s="697">
        <v>5</v>
      </c>
      <c r="E8" s="697"/>
      <c r="F8" s="697">
        <v>5</v>
      </c>
      <c r="G8" s="697"/>
      <c r="H8" s="697"/>
      <c r="I8" s="697"/>
      <c r="J8" s="697"/>
      <c r="K8" s="697"/>
      <c r="L8" s="697"/>
    </row>
    <row r="9" spans="1:12" ht="21.6" thickBot="1" x14ac:dyDescent="0.45">
      <c r="B9" s="698">
        <f>SUM(B4:B8)</f>
        <v>25</v>
      </c>
      <c r="C9" s="697"/>
      <c r="D9" s="698">
        <f>SUBTOTAL(9,D4:D8)</f>
        <v>25</v>
      </c>
      <c r="E9" s="697"/>
      <c r="F9" s="698">
        <f>_xlfn.AGGREGATE(9,7,F4:F8)</f>
        <v>25</v>
      </c>
      <c r="G9" s="697"/>
      <c r="H9" s="697"/>
      <c r="I9" s="697"/>
      <c r="J9" s="697"/>
      <c r="K9" s="697"/>
      <c r="L9" s="697"/>
    </row>
    <row r="10" spans="1:12" ht="21.6" thickTop="1" x14ac:dyDescent="0.4">
      <c r="B10" s="697"/>
      <c r="C10" s="697"/>
      <c r="D10" s="697"/>
      <c r="E10" s="697"/>
      <c r="F10" s="697"/>
      <c r="G10" s="697"/>
      <c r="H10" s="697"/>
      <c r="I10" s="697"/>
      <c r="J10" s="697"/>
      <c r="K10" s="697"/>
      <c r="L10" s="697"/>
    </row>
    <row r="11" spans="1:12" ht="21" x14ac:dyDescent="0.4">
      <c r="B11" s="697">
        <v>5</v>
      </c>
      <c r="C11" s="697"/>
      <c r="D11" s="697">
        <v>5</v>
      </c>
      <c r="E11" s="697"/>
      <c r="F11" s="697"/>
      <c r="G11" s="697"/>
      <c r="H11" s="697"/>
      <c r="I11" s="697"/>
      <c r="J11" s="697"/>
      <c r="K11" s="697"/>
      <c r="L11" s="697"/>
    </row>
    <row r="12" spans="1:12" ht="21" x14ac:dyDescent="0.4">
      <c r="B12" s="697">
        <v>5</v>
      </c>
      <c r="C12" s="697"/>
      <c r="D12" s="697">
        <v>5</v>
      </c>
      <c r="E12" s="697"/>
      <c r="F12" s="697"/>
      <c r="G12" s="697"/>
      <c r="H12" s="697"/>
      <c r="I12" s="697"/>
      <c r="J12" s="697"/>
      <c r="K12" s="697"/>
      <c r="L12" s="697"/>
    </row>
    <row r="13" spans="1:12" ht="21" x14ac:dyDescent="0.4">
      <c r="B13" s="697">
        <v>5</v>
      </c>
      <c r="C13" s="697"/>
      <c r="D13" s="697">
        <v>5</v>
      </c>
      <c r="E13" s="697"/>
      <c r="F13" s="697"/>
      <c r="G13" s="697"/>
      <c r="H13" s="697"/>
      <c r="I13" s="697"/>
      <c r="J13" s="697"/>
      <c r="K13" s="697"/>
      <c r="L13" s="697"/>
    </row>
    <row r="14" spans="1:12" ht="21" x14ac:dyDescent="0.4">
      <c r="B14" s="697">
        <v>5</v>
      </c>
      <c r="C14" s="697"/>
      <c r="D14" s="697">
        <v>5</v>
      </c>
      <c r="E14" s="697"/>
      <c r="F14" s="697"/>
      <c r="G14" s="697"/>
      <c r="H14" s="697"/>
      <c r="I14" s="697"/>
      <c r="J14" s="697"/>
      <c r="K14" s="697"/>
      <c r="L14" s="697"/>
    </row>
    <row r="15" spans="1:12" ht="21" x14ac:dyDescent="0.4">
      <c r="B15" s="697">
        <v>5</v>
      </c>
      <c r="C15" s="697"/>
      <c r="D15" s="697">
        <v>5</v>
      </c>
      <c r="E15" s="697"/>
      <c r="F15" s="697"/>
      <c r="G15" s="697"/>
      <c r="H15" s="697"/>
      <c r="I15" s="697"/>
      <c r="J15" s="697"/>
      <c r="K15" s="697"/>
      <c r="L15" s="697"/>
    </row>
    <row r="16" spans="1:12" ht="21.6" thickBot="1" x14ac:dyDescent="0.45">
      <c r="B16" s="698">
        <f>SUM(B11:B15)</f>
        <v>25</v>
      </c>
      <c r="C16" s="697"/>
      <c r="D16" s="698">
        <f>SUBTOTAL(9,D11:D15)</f>
        <v>25</v>
      </c>
      <c r="E16" s="697"/>
      <c r="F16" s="697"/>
      <c r="G16" s="697"/>
      <c r="H16" s="697"/>
      <c r="I16" s="697"/>
      <c r="J16" s="697"/>
      <c r="K16" s="697"/>
      <c r="L16" s="697"/>
    </row>
    <row r="17" spans="2:12" ht="21.6" thickTop="1" x14ac:dyDescent="0.4">
      <c r="B17" s="697"/>
      <c r="C17" s="697"/>
      <c r="D17" s="697"/>
      <c r="E17" s="697"/>
      <c r="F17" s="697"/>
      <c r="G17" s="697"/>
      <c r="H17" s="697"/>
      <c r="I17" s="697"/>
      <c r="J17" s="697"/>
      <c r="K17" s="697"/>
      <c r="L17" s="697"/>
    </row>
    <row r="18" spans="2:12" ht="21" x14ac:dyDescent="0.4">
      <c r="B18" s="697">
        <f>SUM(B4:B16)</f>
        <v>100</v>
      </c>
      <c r="C18" s="697"/>
      <c r="D18" s="697">
        <f>SUBTOTAL(9,D4:D17)</f>
        <v>50</v>
      </c>
      <c r="E18" s="697"/>
      <c r="F18" s="697"/>
      <c r="G18" s="697"/>
      <c r="H18" s="697"/>
      <c r="I18" s="697"/>
      <c r="J18" s="697"/>
      <c r="K18" s="697"/>
      <c r="L18" s="697"/>
    </row>
    <row r="19" spans="2:12" ht="21" x14ac:dyDescent="0.4">
      <c r="B19" s="697"/>
      <c r="C19" s="697"/>
      <c r="D19" s="697"/>
      <c r="E19" s="697"/>
      <c r="F19" s="697"/>
      <c r="G19" s="697"/>
      <c r="H19" s="697"/>
      <c r="I19" s="697"/>
      <c r="J19" s="697"/>
      <c r="K19" s="697"/>
      <c r="L19" s="697"/>
    </row>
    <row r="20" spans="2:12" ht="21" x14ac:dyDescent="0.4">
      <c r="B20" s="697"/>
      <c r="C20" s="697"/>
      <c r="D20" s="697"/>
      <c r="E20" s="697"/>
      <c r="F20" s="697"/>
      <c r="G20" s="697"/>
      <c r="H20" s="697"/>
      <c r="I20" s="697"/>
      <c r="J20" s="697"/>
      <c r="K20" s="697"/>
      <c r="L20" s="697"/>
    </row>
    <row r="21" spans="2:12" ht="21" x14ac:dyDescent="0.4">
      <c r="B21" s="697"/>
      <c r="C21" s="697"/>
      <c r="D21" s="697"/>
      <c r="E21" s="697"/>
      <c r="F21" s="697"/>
      <c r="G21" s="697"/>
      <c r="H21" s="697"/>
      <c r="I21" s="697"/>
      <c r="J21" s="697"/>
      <c r="K21" s="697"/>
      <c r="L21" s="697"/>
    </row>
    <row r="22" spans="2:12" ht="21" x14ac:dyDescent="0.4">
      <c r="B22" s="697"/>
      <c r="C22" s="697"/>
      <c r="D22" s="697"/>
      <c r="E22" s="697"/>
      <c r="F22" s="697"/>
      <c r="G22" s="697"/>
      <c r="H22" s="697"/>
      <c r="I22" s="697"/>
      <c r="J22" s="697"/>
      <c r="K22" s="697"/>
      <c r="L22" s="697"/>
    </row>
    <row r="23" spans="2:12" ht="21" x14ac:dyDescent="0.4">
      <c r="B23" s="697"/>
      <c r="C23" s="697"/>
      <c r="D23" s="697"/>
      <c r="E23" s="697"/>
      <c r="F23" s="697"/>
      <c r="G23" s="697"/>
      <c r="H23" s="697"/>
      <c r="I23" s="697"/>
      <c r="J23" s="697"/>
      <c r="K23" s="697"/>
      <c r="L23" s="697"/>
    </row>
    <row r="24" spans="2:12" ht="21" x14ac:dyDescent="0.4">
      <c r="B24" s="697"/>
      <c r="C24" s="697"/>
      <c r="D24" s="697"/>
      <c r="E24" s="697"/>
      <c r="F24" s="697"/>
      <c r="G24" s="697"/>
      <c r="H24" s="697"/>
      <c r="I24" s="697"/>
      <c r="J24" s="697"/>
      <c r="K24" s="697"/>
      <c r="L24" s="697"/>
    </row>
    <row r="25" spans="2:12" ht="21" x14ac:dyDescent="0.4">
      <c r="B25" s="697"/>
      <c r="C25" s="697"/>
      <c r="D25" s="697"/>
      <c r="E25" s="697"/>
      <c r="F25" s="697"/>
      <c r="G25" s="697"/>
      <c r="H25" s="697"/>
      <c r="I25" s="697"/>
      <c r="J25" s="697"/>
      <c r="K25" s="697"/>
      <c r="L25" s="697"/>
    </row>
    <row r="26" spans="2:12" ht="21" x14ac:dyDescent="0.4">
      <c r="B26" s="697"/>
      <c r="C26" s="697"/>
      <c r="D26" s="697"/>
      <c r="E26" s="697"/>
      <c r="F26" s="697"/>
      <c r="G26" s="697"/>
      <c r="H26" s="697"/>
      <c r="I26" s="697"/>
      <c r="J26" s="697"/>
      <c r="K26" s="697"/>
      <c r="L26" s="697"/>
    </row>
    <row r="27" spans="2:12" ht="21" x14ac:dyDescent="0.4">
      <c r="B27" s="697"/>
      <c r="C27" s="697"/>
      <c r="D27" s="697"/>
      <c r="E27" s="697"/>
      <c r="F27" s="697"/>
      <c r="G27" s="697"/>
      <c r="H27" s="697"/>
      <c r="I27" s="697"/>
      <c r="J27" s="697"/>
      <c r="K27" s="697"/>
      <c r="L27" s="697"/>
    </row>
    <row r="28" spans="2:12" ht="21" x14ac:dyDescent="0.4">
      <c r="B28" s="697"/>
      <c r="C28" s="697"/>
      <c r="D28" s="697"/>
      <c r="E28" s="697"/>
      <c r="F28" s="697"/>
      <c r="G28" s="697"/>
      <c r="H28" s="697"/>
      <c r="I28" s="697"/>
      <c r="J28" s="697"/>
      <c r="K28" s="697"/>
      <c r="L28" s="697"/>
    </row>
    <row r="29" spans="2:12" ht="21" x14ac:dyDescent="0.4">
      <c r="B29" s="697"/>
      <c r="C29" s="697"/>
      <c r="D29" s="697"/>
      <c r="E29" s="697"/>
      <c r="F29" s="697"/>
      <c r="G29" s="697"/>
      <c r="H29" s="697"/>
      <c r="I29" s="697"/>
      <c r="J29" s="697"/>
      <c r="K29" s="697"/>
      <c r="L29" s="697"/>
    </row>
    <row r="30" spans="2:12" ht="21" x14ac:dyDescent="0.4">
      <c r="B30" s="697"/>
      <c r="C30" s="697"/>
      <c r="D30" s="697"/>
      <c r="E30" s="697"/>
      <c r="F30" s="697"/>
      <c r="G30" s="697"/>
      <c r="H30" s="697"/>
      <c r="I30" s="697"/>
      <c r="J30" s="697"/>
      <c r="K30" s="697"/>
      <c r="L30" s="697"/>
    </row>
    <row r="31" spans="2:12" ht="21" x14ac:dyDescent="0.4">
      <c r="B31" s="697"/>
      <c r="C31" s="697"/>
      <c r="D31" s="697"/>
      <c r="E31" s="697"/>
      <c r="F31" s="697"/>
      <c r="G31" s="697"/>
      <c r="H31" s="697"/>
      <c r="I31" s="697"/>
      <c r="J31" s="697"/>
      <c r="K31" s="697"/>
      <c r="L31" s="697"/>
    </row>
    <row r="32" spans="2:12" ht="21" x14ac:dyDescent="0.4">
      <c r="B32" s="697"/>
      <c r="C32" s="697"/>
      <c r="D32" s="697"/>
      <c r="E32" s="697"/>
      <c r="F32" s="697"/>
      <c r="G32" s="697"/>
      <c r="H32" s="697"/>
      <c r="I32" s="697"/>
      <c r="J32" s="697"/>
      <c r="K32" s="697"/>
      <c r="L32" s="697"/>
    </row>
  </sheetData>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workbookViewId="0">
      <selection activeCell="A2" sqref="A2:P18"/>
    </sheetView>
  </sheetViews>
  <sheetFormatPr defaultRowHeight="14.4" x14ac:dyDescent="0.3"/>
  <cols>
    <col min="2" max="7" width="9.33203125" bestFit="1" customWidth="1"/>
    <col min="8" max="8" width="10.88671875" bestFit="1" customWidth="1"/>
  </cols>
  <sheetData>
    <row r="1" spans="1:9" ht="25.8" x14ac:dyDescent="0.5">
      <c r="A1" s="693" t="s">
        <v>3035</v>
      </c>
    </row>
    <row r="3" spans="1:9" ht="18" x14ac:dyDescent="0.35">
      <c r="B3" s="692"/>
      <c r="C3" s="692"/>
      <c r="D3" s="692"/>
      <c r="E3" s="692"/>
      <c r="F3" s="692"/>
      <c r="G3" s="692"/>
      <c r="H3" s="692"/>
      <c r="I3" s="692"/>
    </row>
    <row r="4" spans="1:9" ht="18" x14ac:dyDescent="0.35">
      <c r="B4" s="692">
        <v>2009</v>
      </c>
      <c r="C4" s="692">
        <v>2010</v>
      </c>
      <c r="D4" s="692">
        <v>2011</v>
      </c>
      <c r="E4" s="692">
        <v>2012</v>
      </c>
      <c r="F4" s="692">
        <v>2013</v>
      </c>
      <c r="G4" s="692">
        <v>2014</v>
      </c>
      <c r="H4" s="692">
        <v>2015</v>
      </c>
      <c r="I4" s="692"/>
    </row>
    <row r="5" spans="1:9" ht="18" x14ac:dyDescent="0.35">
      <c r="B5" s="692">
        <v>456</v>
      </c>
      <c r="C5" s="692">
        <v>455</v>
      </c>
      <c r="D5" s="692">
        <v>366</v>
      </c>
      <c r="E5" s="692">
        <v>755</v>
      </c>
      <c r="F5" s="692">
        <v>467</v>
      </c>
      <c r="G5" s="692">
        <v>655</v>
      </c>
      <c r="H5" s="700">
        <f>FORECAST(H4,B5:G5,B4:G4)</f>
        <v>667.66666666667152</v>
      </c>
      <c r="I5" s="692"/>
    </row>
    <row r="6" spans="1:9" ht="18" x14ac:dyDescent="0.35">
      <c r="B6" s="692"/>
      <c r="C6" s="692"/>
      <c r="D6" s="692"/>
      <c r="E6" s="692"/>
      <c r="F6" s="692"/>
      <c r="G6" s="692"/>
      <c r="H6" s="692"/>
      <c r="I6" s="692"/>
    </row>
    <row r="7" spans="1:9" ht="18" x14ac:dyDescent="0.35">
      <c r="B7" s="692"/>
      <c r="C7" s="692"/>
      <c r="D7" s="692"/>
      <c r="E7" s="692"/>
      <c r="F7" s="692"/>
      <c r="G7" s="692"/>
      <c r="H7" s="692"/>
      <c r="I7" s="692"/>
    </row>
    <row r="8" spans="1:9" ht="18" x14ac:dyDescent="0.35">
      <c r="B8" s="692"/>
      <c r="C8" s="692"/>
      <c r="D8" s="692"/>
      <c r="E8" s="692"/>
      <c r="F8" s="692"/>
      <c r="G8" s="692"/>
      <c r="H8" s="692"/>
      <c r="I8" s="692"/>
    </row>
    <row r="9" spans="1:9" ht="18" x14ac:dyDescent="0.35">
      <c r="B9" s="692"/>
      <c r="C9" s="692"/>
      <c r="D9" s="692"/>
      <c r="E9" s="692"/>
      <c r="F9" s="692"/>
      <c r="G9" s="692"/>
      <c r="H9" s="692"/>
      <c r="I9" s="692"/>
    </row>
    <row r="10" spans="1:9" ht="18" x14ac:dyDescent="0.35">
      <c r="B10" s="692"/>
      <c r="C10" s="692"/>
      <c r="D10" s="692"/>
      <c r="E10" s="692"/>
      <c r="F10" s="692"/>
      <c r="G10" s="692"/>
      <c r="H10" s="692"/>
      <c r="I10" s="692"/>
    </row>
    <row r="11" spans="1:9" ht="18" x14ac:dyDescent="0.35">
      <c r="B11" s="692"/>
      <c r="C11" s="692"/>
      <c r="D11" s="692"/>
      <c r="E11" s="692"/>
      <c r="F11" s="692"/>
      <c r="G11" s="692"/>
      <c r="H11" s="692"/>
      <c r="I11" s="69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zoomScale="120" zoomScaleNormal="120" workbookViewId="0">
      <selection activeCell="D32" sqref="D32"/>
    </sheetView>
  </sheetViews>
  <sheetFormatPr defaultColWidth="9.109375" defaultRowHeight="14.4" x14ac:dyDescent="0.3"/>
  <cols>
    <col min="1" max="4" width="13.6640625" style="535" customWidth="1"/>
    <col min="5" max="6" width="9.109375" style="535"/>
    <col min="7" max="7" width="9.5546875" style="535" customWidth="1"/>
    <col min="8" max="16384" width="9.109375" style="535"/>
  </cols>
  <sheetData>
    <row r="1" spans="1:6" ht="19.8" x14ac:dyDescent="0.4">
      <c r="A1" s="534"/>
      <c r="B1" s="534"/>
      <c r="C1" s="534"/>
      <c r="D1" s="534"/>
      <c r="E1" s="632" t="s">
        <v>3016</v>
      </c>
    </row>
    <row r="2" spans="1:6" x14ac:dyDescent="0.3">
      <c r="A2" s="718" t="s">
        <v>18</v>
      </c>
      <c r="B2" s="716"/>
      <c r="C2" s="716"/>
      <c r="D2" s="716"/>
    </row>
    <row r="3" spans="1:6" x14ac:dyDescent="0.3">
      <c r="A3" s="716"/>
      <c r="B3" s="716"/>
      <c r="C3" s="716"/>
      <c r="D3" s="716"/>
    </row>
    <row r="4" spans="1:6" ht="19.8" x14ac:dyDescent="0.4">
      <c r="A4" s="534"/>
      <c r="B4" s="534"/>
      <c r="C4" s="534"/>
      <c r="D4" s="534"/>
    </row>
    <row r="5" spans="1:6" x14ac:dyDescent="0.3">
      <c r="A5" s="536">
        <f ca="1">TODAY()</f>
        <v>41386</v>
      </c>
    </row>
    <row r="6" spans="1:6" ht="15" customHeight="1" x14ac:dyDescent="0.3">
      <c r="A6" s="537" t="s">
        <v>0</v>
      </c>
      <c r="B6" s="537" t="s">
        <v>1</v>
      </c>
      <c r="C6" s="537" t="s">
        <v>12</v>
      </c>
      <c r="D6" s="537" t="s">
        <v>17</v>
      </c>
    </row>
    <row r="7" spans="1:6" ht="15" customHeight="1" x14ac:dyDescent="0.3">
      <c r="A7" s="535" t="s">
        <v>4</v>
      </c>
      <c r="B7" s="538">
        <v>39508</v>
      </c>
      <c r="C7" s="539" t="s">
        <v>13</v>
      </c>
      <c r="D7" s="540" t="str">
        <f>IF(OR(C7="A",C7="C"),"Tuesday","Thursday")</f>
        <v>Tuesday</v>
      </c>
      <c r="F7" s="541" t="s">
        <v>632</v>
      </c>
    </row>
    <row r="8" spans="1:6" x14ac:dyDescent="0.3">
      <c r="A8" s="542" t="s">
        <v>3</v>
      </c>
      <c r="B8" s="543">
        <v>38657</v>
      </c>
      <c r="C8" s="544" t="s">
        <v>14</v>
      </c>
      <c r="D8" s="540" t="str">
        <f t="shared" ref="D8:D15" si="0">IF(OR(C8="A",C8="C"),"Tuesday","Thursday")</f>
        <v>Thursday</v>
      </c>
    </row>
    <row r="9" spans="1:6" s="545" customFormat="1" x14ac:dyDescent="0.3">
      <c r="A9" s="545" t="s">
        <v>5</v>
      </c>
      <c r="B9" s="538">
        <v>37773</v>
      </c>
      <c r="C9" s="539" t="s">
        <v>15</v>
      </c>
      <c r="D9" s="540" t="str">
        <f t="shared" si="0"/>
        <v>Tuesday</v>
      </c>
    </row>
    <row r="10" spans="1:6" x14ac:dyDescent="0.3">
      <c r="A10" s="542" t="s">
        <v>2</v>
      </c>
      <c r="B10" s="543">
        <v>39114</v>
      </c>
      <c r="C10" s="544" t="s">
        <v>16</v>
      </c>
      <c r="D10" s="540" t="str">
        <f t="shared" si="0"/>
        <v>Thursday</v>
      </c>
    </row>
    <row r="11" spans="1:6" x14ac:dyDescent="0.3">
      <c r="A11" s="546" t="s">
        <v>621</v>
      </c>
      <c r="B11" s="547">
        <v>39508</v>
      </c>
      <c r="C11" s="539" t="s">
        <v>13</v>
      </c>
      <c r="D11" s="540" t="str">
        <f t="shared" si="0"/>
        <v>Tuesday</v>
      </c>
    </row>
    <row r="12" spans="1:6" x14ac:dyDescent="0.3">
      <c r="A12" s="546" t="s">
        <v>622</v>
      </c>
      <c r="B12" s="548">
        <v>38657</v>
      </c>
      <c r="C12" s="544" t="s">
        <v>14</v>
      </c>
      <c r="D12" s="540" t="str">
        <f t="shared" si="0"/>
        <v>Thursday</v>
      </c>
    </row>
    <row r="13" spans="1:6" x14ac:dyDescent="0.3">
      <c r="A13" s="549" t="s">
        <v>618</v>
      </c>
      <c r="B13" s="550">
        <v>38770</v>
      </c>
      <c r="C13" s="539" t="s">
        <v>15</v>
      </c>
      <c r="D13" s="540" t="str">
        <f t="shared" si="0"/>
        <v>Tuesday</v>
      </c>
    </row>
    <row r="14" spans="1:6" x14ac:dyDescent="0.3">
      <c r="A14" s="549" t="s">
        <v>619</v>
      </c>
      <c r="B14" s="550">
        <v>37353</v>
      </c>
      <c r="C14" s="544" t="s">
        <v>16</v>
      </c>
      <c r="D14" s="540" t="str">
        <f t="shared" si="0"/>
        <v>Thursday</v>
      </c>
    </row>
    <row r="15" spans="1:6" x14ac:dyDescent="0.3">
      <c r="A15" s="551" t="s">
        <v>620</v>
      </c>
      <c r="B15" s="550">
        <v>38566</v>
      </c>
      <c r="C15" s="539" t="s">
        <v>13</v>
      </c>
      <c r="D15" s="540" t="str">
        <f t="shared" si="0"/>
        <v>Tuesday</v>
      </c>
    </row>
    <row r="18" spans="4:4" x14ac:dyDescent="0.3">
      <c r="D18" s="552" t="s">
        <v>633</v>
      </c>
    </row>
  </sheetData>
  <mergeCells count="1">
    <mergeCell ref="A2:D3"/>
  </mergeCells>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workbookViewId="0">
      <selection activeCell="N16" sqref="N16"/>
    </sheetView>
  </sheetViews>
  <sheetFormatPr defaultRowHeight="14.4" x14ac:dyDescent="0.3"/>
  <cols>
    <col min="2" max="7" width="9.33203125" bestFit="1" customWidth="1"/>
    <col min="8" max="8" width="10.88671875" bestFit="1" customWidth="1"/>
  </cols>
  <sheetData>
    <row r="1" spans="1:9" ht="25.8" x14ac:dyDescent="0.5">
      <c r="A1" s="693" t="s">
        <v>3036</v>
      </c>
    </row>
    <row r="3" spans="1:9" ht="18" x14ac:dyDescent="0.35">
      <c r="B3" s="692"/>
      <c r="C3" s="692"/>
      <c r="D3" s="692"/>
      <c r="E3" s="692"/>
      <c r="F3" s="692"/>
      <c r="G3" s="692"/>
      <c r="H3" s="692"/>
      <c r="I3" s="692"/>
    </row>
    <row r="4" spans="1:9" ht="18" x14ac:dyDescent="0.35">
      <c r="B4" s="692">
        <v>2009</v>
      </c>
      <c r="C4" s="692">
        <v>2010</v>
      </c>
      <c r="D4" s="692">
        <v>2011</v>
      </c>
      <c r="E4" s="692">
        <v>2012</v>
      </c>
      <c r="F4" s="692">
        <v>2013</v>
      </c>
      <c r="G4" s="692">
        <v>2014</v>
      </c>
      <c r="H4" s="692">
        <v>2015</v>
      </c>
      <c r="I4" s="692"/>
    </row>
    <row r="5" spans="1:9" ht="18" x14ac:dyDescent="0.35">
      <c r="B5" s="692">
        <v>456</v>
      </c>
      <c r="C5" s="692">
        <v>455</v>
      </c>
      <c r="D5" s="692">
        <v>366</v>
      </c>
      <c r="E5" s="692">
        <v>755</v>
      </c>
      <c r="F5" s="692">
        <v>467</v>
      </c>
      <c r="G5" s="692">
        <v>655</v>
      </c>
      <c r="H5" s="700">
        <f>GROWTH(B5:G5,B4:G4,H4)</f>
        <v>661.91700213853096</v>
      </c>
      <c r="I5" s="692"/>
    </row>
    <row r="6" spans="1:9" ht="18" x14ac:dyDescent="0.35">
      <c r="B6" s="692"/>
      <c r="C6" s="692"/>
      <c r="D6" s="692"/>
      <c r="E6" s="692"/>
      <c r="F6" s="692"/>
      <c r="G6" s="692"/>
      <c r="H6" s="692"/>
      <c r="I6" s="692"/>
    </row>
    <row r="7" spans="1:9" ht="18" x14ac:dyDescent="0.35">
      <c r="B7" s="692"/>
      <c r="C7" s="692"/>
      <c r="D7" s="692"/>
      <c r="E7" s="692"/>
      <c r="F7" s="692"/>
      <c r="G7" s="692"/>
      <c r="H7" s="692"/>
      <c r="I7" s="692"/>
    </row>
    <row r="8" spans="1:9" ht="18" x14ac:dyDescent="0.35">
      <c r="B8" s="692"/>
      <c r="C8" s="692"/>
      <c r="D8" s="692"/>
      <c r="E8" s="692"/>
      <c r="F8" s="692"/>
      <c r="G8" s="692"/>
      <c r="H8" s="692"/>
      <c r="I8" s="692"/>
    </row>
    <row r="9" spans="1:9" ht="18" x14ac:dyDescent="0.35">
      <c r="B9" s="692"/>
      <c r="C9" s="692"/>
      <c r="D9" s="692"/>
      <c r="E9" s="692"/>
      <c r="F9" s="692"/>
      <c r="G9" s="692"/>
      <c r="H9" s="692"/>
      <c r="I9" s="692"/>
    </row>
    <row r="10" spans="1:9" ht="18" x14ac:dyDescent="0.35">
      <c r="B10" s="692"/>
      <c r="C10" s="692"/>
      <c r="D10" s="692"/>
      <c r="E10" s="692"/>
      <c r="F10" s="692"/>
      <c r="G10" s="692"/>
      <c r="H10" s="692"/>
      <c r="I10" s="692"/>
    </row>
    <row r="11" spans="1:9" ht="18" x14ac:dyDescent="0.35">
      <c r="B11" s="692"/>
      <c r="C11" s="692"/>
      <c r="D11" s="692"/>
      <c r="E11" s="692"/>
      <c r="F11" s="692"/>
      <c r="G11" s="692"/>
      <c r="H11" s="692"/>
      <c r="I11" s="692"/>
    </row>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workbookViewId="0">
      <selection activeCell="B4" sqref="B4:D22"/>
    </sheetView>
  </sheetViews>
  <sheetFormatPr defaultRowHeight="14.4" x14ac:dyDescent="0.3"/>
  <sheetData>
    <row r="1" spans="1:9" ht="25.8" x14ac:dyDescent="0.5">
      <c r="A1" s="693" t="s">
        <v>3037</v>
      </c>
    </row>
    <row r="3" spans="1:9" ht="15.6" x14ac:dyDescent="0.3">
      <c r="B3" s="142"/>
      <c r="C3" s="142"/>
      <c r="D3" s="142"/>
    </row>
    <row r="4" spans="1:9" ht="31.8" thickBot="1" x14ac:dyDescent="0.35">
      <c r="B4" s="278" t="s">
        <v>177</v>
      </c>
      <c r="C4" s="253" t="s">
        <v>1564</v>
      </c>
      <c r="D4" s="253" t="s">
        <v>596</v>
      </c>
    </row>
    <row r="5" spans="1:9" ht="15.6" x14ac:dyDescent="0.3">
      <c r="B5" s="142" t="s">
        <v>1824</v>
      </c>
      <c r="C5" s="242">
        <v>75</v>
      </c>
      <c r="D5" s="242" t="str">
        <f>LOOKUP(C5,{0,60,63,67,70,73,77,80,83,87,90,93,97},{"F","D-","D","D+","C-","C","C+","B-","B","B+","A-","A","A+"})</f>
        <v>C</v>
      </c>
      <c r="G5" t="s">
        <v>3039</v>
      </c>
      <c r="I5">
        <f>LARGE(B4:C22,1)</f>
        <v>100</v>
      </c>
    </row>
    <row r="6" spans="1:9" ht="15.6" x14ac:dyDescent="0.3">
      <c r="B6" s="142" t="s">
        <v>1572</v>
      </c>
      <c r="C6" s="242">
        <v>75</v>
      </c>
      <c r="D6" s="242" t="str">
        <f>LOOKUP(C6,{0,60,63,67,70,73,77,80,83,87,90,93,97},{"F","D-","D","D+","C-","C","C+","B-","B","B+","A-","A","A+"})</f>
        <v>C</v>
      </c>
      <c r="G6" t="s">
        <v>3038</v>
      </c>
      <c r="I6">
        <f>LARGE($B$4:$C$22,2)</f>
        <v>98</v>
      </c>
    </row>
    <row r="7" spans="1:9" ht="15.6" x14ac:dyDescent="0.3">
      <c r="B7" s="142" t="s">
        <v>1573</v>
      </c>
      <c r="C7" s="242">
        <v>62</v>
      </c>
      <c r="D7" s="242" t="str">
        <f>LOOKUP(C7,{0,60,63,67,70,73,77,80,83,87,90,93,97},{"F","D-","D","D+","C-","C","C+","B-","B","B+","A-","A","A+"})</f>
        <v>D-</v>
      </c>
      <c r="G7" t="s">
        <v>3040</v>
      </c>
      <c r="I7">
        <f>LARGE($B$4:$C$22,3)</f>
        <v>96</v>
      </c>
    </row>
    <row r="8" spans="1:9" ht="15.6" x14ac:dyDescent="0.3">
      <c r="B8" s="142" t="s">
        <v>1831</v>
      </c>
      <c r="C8" s="242">
        <v>73</v>
      </c>
      <c r="D8" s="242" t="str">
        <f>LOOKUP(C8,{0,60,63,67,70,73,77,80,83,87,90,93,97},{"F","D-","D","D+","C-","C","C+","B-","B","B+","A-","A","A+"})</f>
        <v>C</v>
      </c>
      <c r="G8" t="s">
        <v>3041</v>
      </c>
      <c r="I8">
        <f>LARGE($B$4:$C$22,4)</f>
        <v>95</v>
      </c>
    </row>
    <row r="9" spans="1:9" ht="15.6" x14ac:dyDescent="0.3">
      <c r="B9" s="142" t="s">
        <v>1570</v>
      </c>
      <c r="C9" s="242">
        <v>86</v>
      </c>
      <c r="D9" s="242" t="str">
        <f>LOOKUP(C9,{0,60,63,67,70,73,77,80,83,87,90,93,97},{"F","D-","D","D+","C-","C","C+","B-","B","B+","A-","A","A+"})</f>
        <v>B</v>
      </c>
      <c r="G9" t="s">
        <v>3042</v>
      </c>
      <c r="I9">
        <f>LARGE($B$4:$C$22,5)</f>
        <v>93</v>
      </c>
    </row>
    <row r="10" spans="1:9" ht="15.6" x14ac:dyDescent="0.3">
      <c r="B10" s="142" t="s">
        <v>1825</v>
      </c>
      <c r="C10" s="242">
        <v>58</v>
      </c>
      <c r="D10" s="242" t="str">
        <f>LOOKUP(C10,{0,60,63,67,70,73,77,80,83,87,90,93,97},{"F","D-","D","D+","C-","C","C+","B-","B","B+","A-","A","A+"})</f>
        <v>F</v>
      </c>
    </row>
    <row r="11" spans="1:9" ht="15.6" x14ac:dyDescent="0.3">
      <c r="B11" s="142" t="s">
        <v>1567</v>
      </c>
      <c r="C11" s="242">
        <v>95</v>
      </c>
      <c r="D11" s="242" t="str">
        <f>LOOKUP(C11,{0,60,63,67,70,73,77,80,83,87,90,93,97},{"F","D-","D","D+","C-","C","C+","B-","B","B+","A-","A","A+"})</f>
        <v>A</v>
      </c>
    </row>
    <row r="12" spans="1:9" ht="15.6" x14ac:dyDescent="0.3">
      <c r="B12" s="142" t="s">
        <v>1568</v>
      </c>
      <c r="C12" s="242">
        <v>93</v>
      </c>
      <c r="D12" s="242" t="str">
        <f>LOOKUP(C12,{0,60,63,67,70,73,77,80,83,87,90,93,97},{"F","D-","D","D+","C-","C","C+","B-","B","B+","A-","A","A+"})</f>
        <v>A</v>
      </c>
    </row>
    <row r="13" spans="1:9" ht="15.6" x14ac:dyDescent="0.3">
      <c r="B13" s="142" t="s">
        <v>1793</v>
      </c>
      <c r="C13" s="242">
        <v>96</v>
      </c>
      <c r="D13" s="242" t="str">
        <f>LOOKUP(C13,{0,60,63,67,70,73,77,80,83,87,90,93,97},{"F","D-","D","D+","C-","C","C+","B-","B","B+","A-","A","A+"})</f>
        <v>A</v>
      </c>
    </row>
    <row r="14" spans="1:9" ht="15.6" x14ac:dyDescent="0.3">
      <c r="B14" s="142" t="s">
        <v>1565</v>
      </c>
      <c r="C14" s="242">
        <v>100</v>
      </c>
      <c r="D14" s="242" t="str">
        <f>LOOKUP(C14,{0,60,63,67,70,73,77,80,83,87,90,93,97},{"F","D-","D","D+","C-","C","C+","B-","B","B+","A-","A","A+"})</f>
        <v>A+</v>
      </c>
    </row>
    <row r="15" spans="1:9" ht="15.6" x14ac:dyDescent="0.3">
      <c r="B15" s="175" t="s">
        <v>1829</v>
      </c>
      <c r="C15" s="242">
        <v>84</v>
      </c>
      <c r="D15" s="242" t="str">
        <f>LOOKUP(C15,{0,60,63,67,70,73,77,80,83,87,90,93,97},{"F","D-","D","D+","C-","C","C+","B-","B","B+","A-","A","A+"})</f>
        <v>B</v>
      </c>
    </row>
    <row r="16" spans="1:9" ht="15.6" x14ac:dyDescent="0.3">
      <c r="B16" s="142" t="s">
        <v>1827</v>
      </c>
      <c r="C16" s="242">
        <v>60</v>
      </c>
      <c r="D16" s="242" t="str">
        <f>LOOKUP(C16,{0,60,63,67,70,73,77,80,83,87,90,93,97},{"F","D-","D","D+","C-","C","C+","B-","B","B+","A-","A","A+"})</f>
        <v>D-</v>
      </c>
    </row>
    <row r="17" spans="2:4" ht="15.6" x14ac:dyDescent="0.3">
      <c r="B17" s="142" t="s">
        <v>1826</v>
      </c>
      <c r="C17" s="242">
        <v>59</v>
      </c>
      <c r="D17" s="242" t="str">
        <f>LOOKUP(C17,{0,60,63,67,70,73,77,80,83,87,90,93,97},{"F","D-","D","D+","C-","C","C+","B-","B","B+","A-","A","A+"})</f>
        <v>F</v>
      </c>
    </row>
    <row r="18" spans="2:4" ht="15.6" x14ac:dyDescent="0.3">
      <c r="B18" s="142" t="s">
        <v>1566</v>
      </c>
      <c r="C18" s="242">
        <v>98</v>
      </c>
      <c r="D18" s="242" t="str">
        <f>LOOKUP(C18,{0,60,63,67,70,73,77,80,83,87,90,93,97},{"F","D-","D","D+","C-","C","C+","B-","B","B+","A-","A","A+"})</f>
        <v>A+</v>
      </c>
    </row>
    <row r="19" spans="2:4" ht="15.6" x14ac:dyDescent="0.3">
      <c r="B19" s="142" t="s">
        <v>1830</v>
      </c>
      <c r="C19" s="242">
        <v>92</v>
      </c>
      <c r="D19" s="242" t="str">
        <f>LOOKUP(C19,{0,60,63,67,70,73,77,80,83,87,90,93,97},{"F","D-","D","D+","C-","C","C+","B-","B","B+","A-","A","A+"})</f>
        <v>A-</v>
      </c>
    </row>
    <row r="20" spans="2:4" ht="15.6" x14ac:dyDescent="0.3">
      <c r="B20" s="142" t="s">
        <v>1569</v>
      </c>
      <c r="C20" s="242">
        <v>90</v>
      </c>
      <c r="D20" s="242" t="str">
        <f>LOOKUP(C20,{0,60,63,67,70,73,77,80,83,87,90,93,97},{"F","D-","D","D+","C-","C","C+","B-","B","B+","A-","A","A+"})</f>
        <v>A-</v>
      </c>
    </row>
    <row r="21" spans="2:4" ht="15.6" x14ac:dyDescent="0.3">
      <c r="B21" s="142" t="s">
        <v>1828</v>
      </c>
      <c r="C21" s="242">
        <v>88</v>
      </c>
      <c r="D21" s="242" t="str">
        <f>LOOKUP(C21,{0,60,63,67,70,73,77,80,83,87,90,93,97},{"F","D-","D","D+","C-","C","C+","B-","B","B+","A-","A","A+"})</f>
        <v>B+</v>
      </c>
    </row>
    <row r="22" spans="2:4" ht="15.6" x14ac:dyDescent="0.3">
      <c r="B22" s="142" t="s">
        <v>1832</v>
      </c>
      <c r="C22" s="242">
        <v>57</v>
      </c>
      <c r="D22" s="242" t="str">
        <f>LOOKUP(C22,{0,60,63,67,70,73,77,80,83,87,90,93,97},{"F","D-","D","D+","C-","C","C+","B-","B","B+","A-","A","A+"})</f>
        <v>F</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election activeCell="I3" sqref="I3"/>
    </sheetView>
  </sheetViews>
  <sheetFormatPr defaultRowHeight="14.4" x14ac:dyDescent="0.3"/>
  <cols>
    <col min="7" max="7" width="13.109375" customWidth="1"/>
  </cols>
  <sheetData>
    <row r="1" spans="1:7" ht="25.8" x14ac:dyDescent="0.5">
      <c r="A1" s="693" t="s">
        <v>3043</v>
      </c>
    </row>
    <row r="3" spans="1:7" ht="50.25" customHeight="1" thickBot="1" x14ac:dyDescent="0.35">
      <c r="B3" s="278" t="s">
        <v>177</v>
      </c>
      <c r="C3" s="253" t="s">
        <v>1564</v>
      </c>
      <c r="D3" s="253" t="s">
        <v>596</v>
      </c>
      <c r="F3" s="253" t="s">
        <v>3044</v>
      </c>
      <c r="G3" s="253" t="s">
        <v>3045</v>
      </c>
    </row>
    <row r="4" spans="1:7" ht="15.6" x14ac:dyDescent="0.3">
      <c r="B4" s="142" t="s">
        <v>1824</v>
      </c>
      <c r="C4" s="242">
        <v>75</v>
      </c>
      <c r="D4" s="242" t="str">
        <f>LOOKUP(C4,{0,60,63,67,70,73,77,80,83,87,90,93,97},{"F","D-","D","D+","C-","C","C+","B-","B","B+","A-","A","A+"})</f>
        <v>C</v>
      </c>
      <c r="F4" s="699">
        <f>AVERAGE($C$4:$C$21)</f>
        <v>80.055555555555557</v>
      </c>
      <c r="G4" t="b">
        <f>NOT(C4&lt;F4)</f>
        <v>0</v>
      </c>
    </row>
    <row r="5" spans="1:7" ht="15.6" x14ac:dyDescent="0.3">
      <c r="B5" s="142" t="s">
        <v>1572</v>
      </c>
      <c r="C5" s="242">
        <v>75</v>
      </c>
      <c r="D5" s="242" t="str">
        <f>LOOKUP(C5,{0,60,63,67,70,73,77,80,83,87,90,93,97},{"F","D-","D","D+","C-","C","C+","B-","B","B+","A-","A","A+"})</f>
        <v>C</v>
      </c>
      <c r="F5" s="699">
        <f t="shared" ref="F5:F21" si="0">AVERAGE($C$4:$C$21)</f>
        <v>80.055555555555557</v>
      </c>
      <c r="G5" t="b">
        <f t="shared" ref="G5:G21" si="1">NOT(C5&lt;F5)</f>
        <v>0</v>
      </c>
    </row>
    <row r="6" spans="1:7" ht="15.6" x14ac:dyDescent="0.3">
      <c r="B6" s="142" t="s">
        <v>1573</v>
      </c>
      <c r="C6" s="242">
        <v>62</v>
      </c>
      <c r="D6" s="242" t="str">
        <f>LOOKUP(C6,{0,60,63,67,70,73,77,80,83,87,90,93,97},{"F","D-","D","D+","C-","C","C+","B-","B","B+","A-","A","A+"})</f>
        <v>D-</v>
      </c>
      <c r="F6" s="699">
        <f t="shared" si="0"/>
        <v>80.055555555555557</v>
      </c>
      <c r="G6" t="b">
        <f t="shared" si="1"/>
        <v>0</v>
      </c>
    </row>
    <row r="7" spans="1:7" ht="15.6" x14ac:dyDescent="0.3">
      <c r="B7" s="142" t="s">
        <v>1831</v>
      </c>
      <c r="C7" s="242">
        <v>73</v>
      </c>
      <c r="D7" s="242" t="str">
        <f>LOOKUP(C7,{0,60,63,67,70,73,77,80,83,87,90,93,97},{"F","D-","D","D+","C-","C","C+","B-","B","B+","A-","A","A+"})</f>
        <v>C</v>
      </c>
      <c r="F7" s="699">
        <f t="shared" si="0"/>
        <v>80.055555555555557</v>
      </c>
      <c r="G7" t="b">
        <f t="shared" si="1"/>
        <v>0</v>
      </c>
    </row>
    <row r="8" spans="1:7" ht="15.6" x14ac:dyDescent="0.3">
      <c r="B8" s="142" t="s">
        <v>1570</v>
      </c>
      <c r="C8" s="242">
        <v>86</v>
      </c>
      <c r="D8" s="242" t="str">
        <f>LOOKUP(C8,{0,60,63,67,70,73,77,80,83,87,90,93,97},{"F","D-","D","D+","C-","C","C+","B-","B","B+","A-","A","A+"})</f>
        <v>B</v>
      </c>
      <c r="F8" s="699">
        <f t="shared" si="0"/>
        <v>80.055555555555557</v>
      </c>
      <c r="G8" t="b">
        <f t="shared" si="1"/>
        <v>1</v>
      </c>
    </row>
    <row r="9" spans="1:7" ht="15.6" x14ac:dyDescent="0.3">
      <c r="B9" s="142" t="s">
        <v>1825</v>
      </c>
      <c r="C9" s="242">
        <v>58</v>
      </c>
      <c r="D9" s="242" t="str">
        <f>LOOKUP(C9,{0,60,63,67,70,73,77,80,83,87,90,93,97},{"F","D-","D","D+","C-","C","C+","B-","B","B+","A-","A","A+"})</f>
        <v>F</v>
      </c>
      <c r="F9" s="699">
        <f t="shared" si="0"/>
        <v>80.055555555555557</v>
      </c>
      <c r="G9" t="b">
        <f t="shared" si="1"/>
        <v>0</v>
      </c>
    </row>
    <row r="10" spans="1:7" ht="15.6" x14ac:dyDescent="0.3">
      <c r="B10" s="142" t="s">
        <v>1567</v>
      </c>
      <c r="C10" s="242">
        <v>95</v>
      </c>
      <c r="D10" s="242" t="str">
        <f>LOOKUP(C10,{0,60,63,67,70,73,77,80,83,87,90,93,97},{"F","D-","D","D+","C-","C","C+","B-","B","B+","A-","A","A+"})</f>
        <v>A</v>
      </c>
      <c r="F10" s="699">
        <f t="shared" si="0"/>
        <v>80.055555555555557</v>
      </c>
      <c r="G10" t="b">
        <f t="shared" si="1"/>
        <v>1</v>
      </c>
    </row>
    <row r="11" spans="1:7" ht="15.6" x14ac:dyDescent="0.3">
      <c r="B11" s="142" t="s">
        <v>1568</v>
      </c>
      <c r="C11" s="242">
        <v>93</v>
      </c>
      <c r="D11" s="242" t="str">
        <f>LOOKUP(C11,{0,60,63,67,70,73,77,80,83,87,90,93,97},{"F","D-","D","D+","C-","C","C+","B-","B","B+","A-","A","A+"})</f>
        <v>A</v>
      </c>
      <c r="F11" s="699">
        <f t="shared" si="0"/>
        <v>80.055555555555557</v>
      </c>
      <c r="G11" t="b">
        <f t="shared" si="1"/>
        <v>1</v>
      </c>
    </row>
    <row r="12" spans="1:7" ht="15.6" x14ac:dyDescent="0.3">
      <c r="B12" s="142" t="s">
        <v>1793</v>
      </c>
      <c r="C12" s="242">
        <v>96</v>
      </c>
      <c r="D12" s="242" t="str">
        <f>LOOKUP(C12,{0,60,63,67,70,73,77,80,83,87,90,93,97},{"F","D-","D","D+","C-","C","C+","B-","B","B+","A-","A","A+"})</f>
        <v>A</v>
      </c>
      <c r="F12" s="699">
        <f t="shared" si="0"/>
        <v>80.055555555555557</v>
      </c>
      <c r="G12" t="b">
        <f t="shared" si="1"/>
        <v>1</v>
      </c>
    </row>
    <row r="13" spans="1:7" ht="15.6" x14ac:dyDescent="0.3">
      <c r="B13" s="142" t="s">
        <v>1565</v>
      </c>
      <c r="C13" s="242">
        <v>100</v>
      </c>
      <c r="D13" s="242" t="str">
        <f>LOOKUP(C13,{0,60,63,67,70,73,77,80,83,87,90,93,97},{"F","D-","D","D+","C-","C","C+","B-","B","B+","A-","A","A+"})</f>
        <v>A+</v>
      </c>
      <c r="F13" s="699">
        <f t="shared" si="0"/>
        <v>80.055555555555557</v>
      </c>
      <c r="G13" t="b">
        <f t="shared" si="1"/>
        <v>1</v>
      </c>
    </row>
    <row r="14" spans="1:7" ht="15.6" x14ac:dyDescent="0.3">
      <c r="B14" s="175" t="s">
        <v>1829</v>
      </c>
      <c r="C14" s="242">
        <v>84</v>
      </c>
      <c r="D14" s="242" t="str">
        <f>LOOKUP(C14,{0,60,63,67,70,73,77,80,83,87,90,93,97},{"F","D-","D","D+","C-","C","C+","B-","B","B+","A-","A","A+"})</f>
        <v>B</v>
      </c>
      <c r="F14" s="699">
        <f t="shared" si="0"/>
        <v>80.055555555555557</v>
      </c>
      <c r="G14" t="b">
        <f t="shared" si="1"/>
        <v>1</v>
      </c>
    </row>
    <row r="15" spans="1:7" ht="15.6" x14ac:dyDescent="0.3">
      <c r="B15" s="142" t="s">
        <v>1827</v>
      </c>
      <c r="C15" s="242">
        <v>60</v>
      </c>
      <c r="D15" s="242" t="str">
        <f>LOOKUP(C15,{0,60,63,67,70,73,77,80,83,87,90,93,97},{"F","D-","D","D+","C-","C","C+","B-","B","B+","A-","A","A+"})</f>
        <v>D-</v>
      </c>
      <c r="F15" s="699">
        <f t="shared" si="0"/>
        <v>80.055555555555557</v>
      </c>
      <c r="G15" t="b">
        <f t="shared" si="1"/>
        <v>0</v>
      </c>
    </row>
    <row r="16" spans="1:7" ht="15.6" x14ac:dyDescent="0.3">
      <c r="B16" s="142" t="s">
        <v>1826</v>
      </c>
      <c r="C16" s="242">
        <v>59</v>
      </c>
      <c r="D16" s="242" t="str">
        <f>LOOKUP(C16,{0,60,63,67,70,73,77,80,83,87,90,93,97},{"F","D-","D","D+","C-","C","C+","B-","B","B+","A-","A","A+"})</f>
        <v>F</v>
      </c>
      <c r="F16" s="699">
        <f t="shared" si="0"/>
        <v>80.055555555555557</v>
      </c>
      <c r="G16" t="b">
        <f t="shared" si="1"/>
        <v>0</v>
      </c>
    </row>
    <row r="17" spans="2:7" ht="15.6" x14ac:dyDescent="0.3">
      <c r="B17" s="142" t="s">
        <v>1566</v>
      </c>
      <c r="C17" s="242">
        <v>98</v>
      </c>
      <c r="D17" s="242" t="str">
        <f>LOOKUP(C17,{0,60,63,67,70,73,77,80,83,87,90,93,97},{"F","D-","D","D+","C-","C","C+","B-","B","B+","A-","A","A+"})</f>
        <v>A+</v>
      </c>
      <c r="F17" s="699">
        <f t="shared" si="0"/>
        <v>80.055555555555557</v>
      </c>
      <c r="G17" t="b">
        <f t="shared" si="1"/>
        <v>1</v>
      </c>
    </row>
    <row r="18" spans="2:7" ht="15.6" x14ac:dyDescent="0.3">
      <c r="B18" s="142" t="s">
        <v>1830</v>
      </c>
      <c r="C18" s="242">
        <v>92</v>
      </c>
      <c r="D18" s="242" t="str">
        <f>LOOKUP(C18,{0,60,63,67,70,73,77,80,83,87,90,93,97},{"F","D-","D","D+","C-","C","C+","B-","B","B+","A-","A","A+"})</f>
        <v>A-</v>
      </c>
      <c r="F18" s="699">
        <f t="shared" si="0"/>
        <v>80.055555555555557</v>
      </c>
      <c r="G18" t="b">
        <f t="shared" si="1"/>
        <v>1</v>
      </c>
    </row>
    <row r="19" spans="2:7" ht="15.6" x14ac:dyDescent="0.3">
      <c r="B19" s="142" t="s">
        <v>1569</v>
      </c>
      <c r="C19" s="242">
        <v>90</v>
      </c>
      <c r="D19" s="242" t="str">
        <f>LOOKUP(C19,{0,60,63,67,70,73,77,80,83,87,90,93,97},{"F","D-","D","D+","C-","C","C+","B-","B","B+","A-","A","A+"})</f>
        <v>A-</v>
      </c>
      <c r="F19" s="699">
        <f t="shared" si="0"/>
        <v>80.055555555555557</v>
      </c>
      <c r="G19" t="b">
        <f t="shared" si="1"/>
        <v>1</v>
      </c>
    </row>
    <row r="20" spans="2:7" ht="15.6" x14ac:dyDescent="0.3">
      <c r="B20" s="142" t="s">
        <v>1828</v>
      </c>
      <c r="C20" s="242">
        <v>88</v>
      </c>
      <c r="D20" s="242" t="str">
        <f>LOOKUP(C20,{0,60,63,67,70,73,77,80,83,87,90,93,97},{"F","D-","D","D+","C-","C","C+","B-","B","B+","A-","A","A+"})</f>
        <v>B+</v>
      </c>
      <c r="F20" s="699">
        <f t="shared" si="0"/>
        <v>80.055555555555557</v>
      </c>
      <c r="G20" t="b">
        <f t="shared" si="1"/>
        <v>1</v>
      </c>
    </row>
    <row r="21" spans="2:7" ht="15.6" x14ac:dyDescent="0.3">
      <c r="B21" s="142" t="s">
        <v>1832</v>
      </c>
      <c r="C21" s="242">
        <v>57</v>
      </c>
      <c r="D21" s="242" t="str">
        <f>LOOKUP(C21,{0,60,63,67,70,73,77,80,83,87,90,93,97},{"F","D-","D","D+","C-","C","C+","B-","B","B+","A-","A","A+"})</f>
        <v>F</v>
      </c>
      <c r="F21" s="699">
        <f t="shared" si="0"/>
        <v>80.055555555555557</v>
      </c>
      <c r="G21" t="b">
        <f t="shared" si="1"/>
        <v>0</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workbookViewId="0">
      <selection activeCell="G10" sqref="G10"/>
    </sheetView>
  </sheetViews>
  <sheetFormatPr defaultRowHeight="14.4" x14ac:dyDescent="0.3"/>
  <cols>
    <col min="7" max="7" width="10.88671875" bestFit="1" customWidth="1"/>
  </cols>
  <sheetData>
    <row r="1" spans="1:13" ht="25.8" x14ac:dyDescent="0.5">
      <c r="A1" s="693" t="s">
        <v>2901</v>
      </c>
    </row>
    <row r="3" spans="1:13" ht="18" x14ac:dyDescent="0.35">
      <c r="B3" s="692"/>
      <c r="C3" s="692"/>
      <c r="D3" s="692"/>
      <c r="E3" s="692"/>
      <c r="F3" s="692"/>
      <c r="G3" s="692"/>
      <c r="H3" s="692"/>
      <c r="I3" s="692"/>
      <c r="J3" s="692"/>
      <c r="K3" s="692"/>
      <c r="L3" s="692"/>
      <c r="M3" s="692"/>
    </row>
    <row r="4" spans="1:13" ht="18" x14ac:dyDescent="0.35">
      <c r="B4" s="692" t="s">
        <v>3046</v>
      </c>
      <c r="C4" s="692" t="s">
        <v>1567</v>
      </c>
      <c r="D4" s="692" t="s">
        <v>3054</v>
      </c>
      <c r="E4" s="692"/>
      <c r="F4" s="692"/>
      <c r="G4" s="701" t="str">
        <f ca="1">OFFSET(B4,1,2)</f>
        <v>Jennifer</v>
      </c>
      <c r="H4" s="692"/>
      <c r="I4" s="692"/>
      <c r="J4" s="692"/>
      <c r="K4" s="692"/>
      <c r="L4" s="692"/>
      <c r="M4" s="692"/>
    </row>
    <row r="5" spans="1:13" ht="18" x14ac:dyDescent="0.35">
      <c r="B5" s="692" t="s">
        <v>1872</v>
      </c>
      <c r="C5" s="692" t="s">
        <v>3049</v>
      </c>
      <c r="D5" s="692" t="s">
        <v>1962</v>
      </c>
      <c r="E5" s="692"/>
      <c r="F5" s="692"/>
      <c r="G5" s="692"/>
      <c r="H5" s="692"/>
      <c r="I5" s="692"/>
      <c r="J5" s="692"/>
      <c r="K5" s="692"/>
      <c r="L5" s="692"/>
      <c r="M5" s="692"/>
    </row>
    <row r="6" spans="1:13" ht="18" x14ac:dyDescent="0.35">
      <c r="B6" s="692" t="s">
        <v>3047</v>
      </c>
      <c r="C6" s="692" t="s">
        <v>3050</v>
      </c>
      <c r="D6" s="692" t="s">
        <v>3053</v>
      </c>
      <c r="E6" s="692"/>
      <c r="F6" s="692"/>
      <c r="G6" s="692"/>
      <c r="H6" s="692"/>
      <c r="I6" s="692"/>
      <c r="J6" s="692"/>
      <c r="K6" s="692"/>
      <c r="L6" s="692"/>
      <c r="M6" s="692"/>
    </row>
    <row r="7" spans="1:13" ht="18" x14ac:dyDescent="0.35">
      <c r="B7" s="692" t="s">
        <v>3048</v>
      </c>
      <c r="C7" s="692" t="s">
        <v>3051</v>
      </c>
      <c r="D7" s="692" t="s">
        <v>3052</v>
      </c>
      <c r="E7" s="692"/>
      <c r="F7" s="692"/>
      <c r="G7" s="692"/>
      <c r="H7" s="692"/>
      <c r="I7" s="692"/>
      <c r="J7" s="692"/>
      <c r="K7" s="692"/>
      <c r="L7" s="692"/>
      <c r="M7" s="692"/>
    </row>
    <row r="8" spans="1:13" ht="18" x14ac:dyDescent="0.35">
      <c r="B8" s="692"/>
      <c r="C8" s="692"/>
      <c r="D8" s="692"/>
      <c r="E8" s="692"/>
      <c r="F8" s="692"/>
      <c r="G8" s="692"/>
      <c r="H8" s="692"/>
      <c r="I8" s="692"/>
      <c r="J8" s="692"/>
      <c r="K8" s="692"/>
      <c r="L8" s="692"/>
      <c r="M8" s="692"/>
    </row>
    <row r="9" spans="1:13" ht="18" x14ac:dyDescent="0.35">
      <c r="B9" s="692"/>
      <c r="C9" s="692"/>
      <c r="D9" s="692"/>
      <c r="E9" s="692"/>
      <c r="F9" s="692"/>
      <c r="G9" s="692"/>
      <c r="H9" s="692"/>
      <c r="I9" s="692"/>
      <c r="J9" s="692"/>
      <c r="K9" s="692"/>
      <c r="L9" s="692"/>
      <c r="M9" s="692"/>
    </row>
    <row r="10" spans="1:13" ht="18" x14ac:dyDescent="0.35">
      <c r="B10" s="692"/>
      <c r="C10" s="692"/>
      <c r="D10" s="692"/>
      <c r="E10" s="692"/>
      <c r="F10" s="692"/>
      <c r="G10" s="692"/>
      <c r="H10" s="692"/>
      <c r="I10" s="692"/>
      <c r="J10" s="692"/>
      <c r="K10" s="692"/>
      <c r="L10" s="692"/>
      <c r="M10" s="692"/>
    </row>
    <row r="11" spans="1:13" ht="18" x14ac:dyDescent="0.35">
      <c r="B11" s="692"/>
      <c r="C11" s="692"/>
      <c r="D11" s="692"/>
      <c r="E11" s="692"/>
      <c r="F11" s="692"/>
      <c r="G11" s="692"/>
      <c r="H11" s="692"/>
      <c r="I11" s="692"/>
      <c r="J11" s="692"/>
      <c r="K11" s="692"/>
      <c r="L11" s="692"/>
      <c r="M11" s="692"/>
    </row>
    <row r="12" spans="1:13" ht="18" x14ac:dyDescent="0.35">
      <c r="B12" s="692"/>
      <c r="C12" s="692"/>
      <c r="D12" s="692"/>
      <c r="E12" s="692"/>
      <c r="F12" s="692"/>
      <c r="G12" s="692"/>
      <c r="H12" s="692"/>
      <c r="I12" s="692"/>
      <c r="J12" s="692"/>
      <c r="K12" s="692"/>
      <c r="L12" s="692"/>
      <c r="M12" s="692"/>
    </row>
    <row r="13" spans="1:13" ht="18" x14ac:dyDescent="0.35">
      <c r="B13" s="692"/>
      <c r="C13" s="692"/>
      <c r="D13" s="692"/>
      <c r="E13" s="692"/>
      <c r="F13" s="692"/>
      <c r="G13" s="692"/>
      <c r="H13" s="692"/>
      <c r="I13" s="692"/>
      <c r="J13" s="692"/>
      <c r="K13" s="692"/>
      <c r="L13" s="692"/>
      <c r="M13" s="692"/>
    </row>
    <row r="14" spans="1:13" ht="18" x14ac:dyDescent="0.35">
      <c r="B14" s="692"/>
      <c r="C14" s="692"/>
      <c r="D14" s="692"/>
      <c r="E14" s="692"/>
      <c r="F14" s="692"/>
      <c r="G14" s="692"/>
      <c r="H14" s="692"/>
      <c r="I14" s="692"/>
      <c r="J14" s="692"/>
      <c r="K14" s="692"/>
      <c r="L14" s="692"/>
      <c r="M14" s="692"/>
    </row>
    <row r="15" spans="1:13" ht="18" x14ac:dyDescent="0.35">
      <c r="B15" s="692"/>
      <c r="C15" s="692"/>
      <c r="D15" s="692"/>
      <c r="E15" s="692"/>
      <c r="F15" s="692"/>
      <c r="G15" s="692"/>
      <c r="H15" s="692"/>
      <c r="I15" s="692"/>
      <c r="J15" s="692"/>
      <c r="K15" s="692"/>
      <c r="L15" s="692"/>
      <c r="M15" s="692"/>
    </row>
    <row r="16" spans="1:13" ht="18" x14ac:dyDescent="0.35">
      <c r="B16" s="692"/>
      <c r="C16" s="692"/>
      <c r="D16" s="692"/>
      <c r="E16" s="692"/>
      <c r="F16" s="692"/>
      <c r="G16" s="692"/>
      <c r="H16" s="692"/>
      <c r="I16" s="692"/>
      <c r="J16" s="692"/>
      <c r="K16" s="692"/>
      <c r="L16" s="692"/>
      <c r="M16" s="692"/>
    </row>
    <row r="17" spans="2:13" ht="18" x14ac:dyDescent="0.35">
      <c r="B17" s="692"/>
      <c r="C17" s="692"/>
      <c r="D17" s="692"/>
      <c r="E17" s="692"/>
      <c r="F17" s="692"/>
      <c r="G17" s="692"/>
      <c r="H17" s="692"/>
      <c r="I17" s="692"/>
      <c r="J17" s="692"/>
      <c r="K17" s="692"/>
      <c r="L17" s="692"/>
      <c r="M17" s="692"/>
    </row>
    <row r="18" spans="2:13" ht="18" x14ac:dyDescent="0.35">
      <c r="B18" s="692"/>
      <c r="C18" s="692"/>
      <c r="D18" s="692"/>
      <c r="E18" s="692"/>
      <c r="F18" s="692"/>
      <c r="G18" s="692"/>
      <c r="H18" s="692"/>
      <c r="I18" s="692"/>
      <c r="J18" s="692"/>
      <c r="K18" s="692"/>
      <c r="L18" s="692"/>
      <c r="M18" s="692"/>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workbookViewId="0">
      <selection activeCell="N22" sqref="N22"/>
    </sheetView>
  </sheetViews>
  <sheetFormatPr defaultRowHeight="14.4" x14ac:dyDescent="0.3"/>
  <cols>
    <col min="1" max="3" width="14.109375" customWidth="1"/>
  </cols>
  <sheetData>
    <row r="1" spans="1:13" ht="35.4" x14ac:dyDescent="0.35">
      <c r="A1" s="702" t="s">
        <v>1943</v>
      </c>
      <c r="B1" s="703" t="s">
        <v>3055</v>
      </c>
      <c r="C1" s="704" t="s">
        <v>1835</v>
      </c>
      <c r="D1" s="692"/>
      <c r="E1" s="692"/>
      <c r="F1" s="692"/>
      <c r="G1" s="692"/>
      <c r="H1" s="692"/>
      <c r="I1" s="692"/>
      <c r="J1" s="692"/>
      <c r="K1" s="692"/>
      <c r="L1" s="692"/>
      <c r="M1" s="692"/>
    </row>
    <row r="2" spans="1:13" ht="18" x14ac:dyDescent="0.35">
      <c r="A2" s="705">
        <v>41640</v>
      </c>
      <c r="B2" s="692">
        <v>141</v>
      </c>
      <c r="C2" s="692">
        <v>12</v>
      </c>
      <c r="D2" s="692"/>
      <c r="E2" s="692"/>
      <c r="F2" s="692"/>
      <c r="G2" s="692"/>
      <c r="H2" s="692"/>
      <c r="I2" s="692"/>
      <c r="J2" s="692"/>
      <c r="K2" s="692"/>
      <c r="L2" s="692"/>
      <c r="M2" s="692"/>
    </row>
    <row r="3" spans="1:13" ht="18" x14ac:dyDescent="0.35">
      <c r="A3" s="705">
        <v>41671</v>
      </c>
      <c r="B3" s="692">
        <v>149</v>
      </c>
      <c r="C3" s="692"/>
      <c r="D3" s="692"/>
      <c r="E3" s="692"/>
      <c r="F3" s="692"/>
      <c r="G3" s="692"/>
      <c r="H3" s="692"/>
      <c r="I3" s="692"/>
      <c r="J3" s="692"/>
      <c r="K3" s="692"/>
      <c r="L3" s="692"/>
      <c r="M3" s="692"/>
    </row>
    <row r="4" spans="1:13" ht="18" x14ac:dyDescent="0.35">
      <c r="A4" s="705">
        <v>41699</v>
      </c>
      <c r="B4" s="692">
        <v>159</v>
      </c>
      <c r="C4" s="692"/>
      <c r="D4" s="692"/>
      <c r="E4" s="692"/>
      <c r="F4" s="692"/>
      <c r="G4" s="692"/>
      <c r="H4" s="692"/>
      <c r="I4" s="692"/>
      <c r="J4" s="692"/>
      <c r="K4" s="692"/>
      <c r="L4" s="692"/>
      <c r="M4" s="692"/>
    </row>
    <row r="5" spans="1:13" ht="18" x14ac:dyDescent="0.35">
      <c r="A5" s="705">
        <v>41730</v>
      </c>
      <c r="B5" s="692">
        <v>99</v>
      </c>
      <c r="C5" s="692"/>
      <c r="D5" s="692"/>
      <c r="E5" s="692"/>
      <c r="F5" s="692"/>
      <c r="G5" s="692"/>
      <c r="H5" s="692"/>
      <c r="I5" s="692"/>
      <c r="J5" s="692"/>
      <c r="K5" s="692"/>
      <c r="L5" s="692"/>
      <c r="M5" s="692"/>
    </row>
    <row r="6" spans="1:13" ht="18" x14ac:dyDescent="0.35">
      <c r="A6" s="705">
        <v>41760</v>
      </c>
      <c r="B6" s="692">
        <v>109</v>
      </c>
      <c r="C6" s="692"/>
      <c r="D6" s="692"/>
      <c r="E6" s="692"/>
      <c r="F6" s="692"/>
      <c r="G6" s="692"/>
      <c r="H6" s="692"/>
      <c r="I6" s="692"/>
      <c r="J6" s="692"/>
      <c r="K6" s="692"/>
      <c r="L6" s="692"/>
      <c r="M6" s="692"/>
    </row>
    <row r="7" spans="1:13" ht="18" x14ac:dyDescent="0.35">
      <c r="A7" s="705">
        <v>41791</v>
      </c>
      <c r="B7" s="692">
        <v>83</v>
      </c>
      <c r="C7" s="692"/>
      <c r="D7" s="692"/>
      <c r="E7" s="692"/>
      <c r="F7" s="692"/>
      <c r="G7" s="692"/>
      <c r="H7" s="692"/>
      <c r="I7" s="692"/>
      <c r="J7" s="692"/>
      <c r="K7" s="692"/>
      <c r="L7" s="692"/>
      <c r="M7" s="692"/>
    </row>
    <row r="8" spans="1:13" ht="18" x14ac:dyDescent="0.35">
      <c r="A8" s="705">
        <v>41821</v>
      </c>
      <c r="B8" s="692">
        <v>73</v>
      </c>
      <c r="C8" s="692"/>
      <c r="D8" s="692"/>
      <c r="E8" s="692"/>
      <c r="F8" s="692"/>
      <c r="G8" s="692"/>
      <c r="H8" s="692"/>
      <c r="I8" s="692"/>
      <c r="J8" s="692"/>
      <c r="K8" s="692"/>
      <c r="L8" s="692"/>
      <c r="M8" s="692"/>
    </row>
    <row r="9" spans="1:13" ht="18" x14ac:dyDescent="0.35">
      <c r="A9" s="705">
        <v>41852</v>
      </c>
      <c r="B9" s="692">
        <v>86</v>
      </c>
      <c r="C9" s="692"/>
      <c r="D9" s="692"/>
      <c r="E9" s="692"/>
      <c r="F9" s="692"/>
      <c r="G9" s="692"/>
      <c r="H9" s="692"/>
      <c r="I9" s="692"/>
      <c r="J9" s="692"/>
      <c r="K9" s="692"/>
      <c r="L9" s="692"/>
      <c r="M9" s="692"/>
    </row>
    <row r="10" spans="1:13" ht="18" x14ac:dyDescent="0.35">
      <c r="A10" s="705">
        <v>41883</v>
      </c>
      <c r="B10" s="692">
        <v>80</v>
      </c>
      <c r="C10" s="692"/>
      <c r="D10" s="692"/>
      <c r="E10" s="692"/>
      <c r="F10" s="692"/>
      <c r="G10" s="692"/>
      <c r="H10" s="692"/>
      <c r="I10" s="692"/>
      <c r="J10" s="692"/>
      <c r="K10" s="692"/>
      <c r="L10" s="692"/>
      <c r="M10" s="692"/>
    </row>
    <row r="11" spans="1:13" ht="18" x14ac:dyDescent="0.35">
      <c r="A11" s="705">
        <v>41913</v>
      </c>
      <c r="B11" s="692">
        <v>91</v>
      </c>
      <c r="C11" s="692"/>
      <c r="D11" s="692"/>
      <c r="E11" s="692"/>
      <c r="F11" s="692"/>
      <c r="G11" s="692"/>
      <c r="H11" s="692"/>
      <c r="I11" s="692"/>
      <c r="J11" s="692"/>
      <c r="K11" s="692"/>
      <c r="L11" s="692"/>
      <c r="M11" s="692"/>
    </row>
    <row r="12" spans="1:13" ht="18" x14ac:dyDescent="0.35">
      <c r="A12" s="705">
        <v>41944</v>
      </c>
      <c r="B12" s="692">
        <v>114</v>
      </c>
      <c r="C12" s="692"/>
      <c r="D12" s="692"/>
      <c r="E12" s="692"/>
      <c r="F12" s="692"/>
      <c r="G12" s="692"/>
      <c r="H12" s="692"/>
      <c r="I12" s="692"/>
      <c r="J12" s="692"/>
      <c r="K12" s="692"/>
      <c r="L12" s="692"/>
      <c r="M12" s="692"/>
    </row>
    <row r="13" spans="1:13" ht="18" x14ac:dyDescent="0.35">
      <c r="A13" s="705">
        <v>41974</v>
      </c>
      <c r="B13" s="692">
        <v>151</v>
      </c>
      <c r="C13" s="692"/>
      <c r="D13" s="692"/>
      <c r="E13" s="692"/>
      <c r="F13" s="692"/>
      <c r="G13" s="692"/>
      <c r="H13" s="692"/>
      <c r="I13" s="692"/>
      <c r="J13" s="692"/>
      <c r="K13" s="692"/>
      <c r="L13" s="692"/>
      <c r="M13" s="692"/>
    </row>
    <row r="14" spans="1:13" ht="18" x14ac:dyDescent="0.35">
      <c r="A14" s="705">
        <v>42005</v>
      </c>
      <c r="B14" s="692">
        <v>140</v>
      </c>
      <c r="C14" s="692"/>
      <c r="D14" s="692"/>
      <c r="E14" s="692"/>
      <c r="F14" s="692"/>
      <c r="G14" s="692"/>
      <c r="H14" s="692"/>
      <c r="I14" s="692"/>
      <c r="J14" s="692"/>
      <c r="K14" s="692"/>
      <c r="L14" s="692"/>
      <c r="M14" s="692"/>
    </row>
    <row r="15" spans="1:13" ht="18" x14ac:dyDescent="0.35">
      <c r="A15" s="705">
        <v>42036</v>
      </c>
      <c r="B15" s="692">
        <v>85</v>
      </c>
      <c r="C15" s="692"/>
      <c r="D15" s="692"/>
      <c r="E15" s="692"/>
      <c r="F15" s="692"/>
      <c r="G15" s="692"/>
      <c r="H15" s="692"/>
      <c r="I15" s="692"/>
      <c r="J15" s="692"/>
      <c r="K15" s="692"/>
      <c r="L15" s="692"/>
      <c r="M15" s="692"/>
    </row>
    <row r="16" spans="1:13" ht="18" x14ac:dyDescent="0.35">
      <c r="A16" s="705"/>
      <c r="B16" s="692"/>
      <c r="C16" s="692"/>
      <c r="D16" s="692"/>
      <c r="E16" s="692"/>
      <c r="F16" s="692"/>
      <c r="G16" s="692"/>
      <c r="H16" s="692"/>
      <c r="I16" s="692"/>
      <c r="J16" s="692"/>
      <c r="K16" s="692"/>
      <c r="L16" s="692"/>
      <c r="M16" s="692"/>
    </row>
    <row r="17" spans="1:13" ht="18" x14ac:dyDescent="0.35">
      <c r="A17" s="705"/>
      <c r="B17" s="692"/>
      <c r="C17" s="692"/>
      <c r="D17" s="692"/>
      <c r="E17" s="692"/>
      <c r="F17" s="692"/>
      <c r="G17" s="692"/>
      <c r="H17" s="692"/>
      <c r="I17" s="692"/>
      <c r="J17" s="692"/>
      <c r="K17" s="692"/>
      <c r="L17" s="692"/>
      <c r="M17" s="692"/>
    </row>
    <row r="18" spans="1:13" ht="18" x14ac:dyDescent="0.35">
      <c r="A18" s="705"/>
      <c r="B18" s="692"/>
      <c r="C18" s="692"/>
      <c r="D18" s="692"/>
      <c r="E18" s="692"/>
      <c r="F18" s="692"/>
      <c r="G18" s="692"/>
      <c r="H18" s="692"/>
      <c r="I18" s="692"/>
      <c r="J18" s="692"/>
      <c r="K18" s="692"/>
      <c r="L18" s="692"/>
      <c r="M18" s="692"/>
    </row>
    <row r="19" spans="1:13" ht="18" x14ac:dyDescent="0.35">
      <c r="A19" s="692"/>
      <c r="B19" s="692"/>
      <c r="C19" s="692"/>
      <c r="D19" s="692"/>
      <c r="E19" s="692"/>
      <c r="F19" s="692"/>
      <c r="G19" s="692"/>
      <c r="H19" s="692"/>
      <c r="I19" s="692"/>
      <c r="J19" s="692"/>
      <c r="K19" s="692"/>
      <c r="L19" s="692"/>
      <c r="M19" s="692"/>
    </row>
    <row r="20" spans="1:13" x14ac:dyDescent="0.3">
      <c r="A20" s="691" t="s">
        <v>3056</v>
      </c>
    </row>
  </sheetData>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showGridLines="0" workbookViewId="0">
      <selection activeCell="L23" sqref="L23"/>
    </sheetView>
  </sheetViews>
  <sheetFormatPr defaultRowHeight="14.4" x14ac:dyDescent="0.3"/>
  <sheetData>
    <row r="1" spans="1:18" ht="25.8" x14ac:dyDescent="0.5">
      <c r="A1" s="693" t="s">
        <v>3057</v>
      </c>
    </row>
    <row r="4" spans="1:18" ht="18" x14ac:dyDescent="0.35">
      <c r="B4" s="692"/>
      <c r="C4" s="692"/>
      <c r="D4" s="692"/>
      <c r="E4" s="692"/>
      <c r="F4" s="692"/>
      <c r="G4" s="692"/>
      <c r="H4" s="692"/>
      <c r="I4" s="692"/>
    </row>
    <row r="5" spans="1:18" ht="18" x14ac:dyDescent="0.35">
      <c r="B5" s="692">
        <v>2009</v>
      </c>
      <c r="C5" s="692">
        <v>2010</v>
      </c>
      <c r="D5" s="692">
        <v>2011</v>
      </c>
      <c r="E5" s="692">
        <v>2012</v>
      </c>
      <c r="F5" s="692">
        <v>2013</v>
      </c>
      <c r="G5" s="692">
        <v>2014</v>
      </c>
      <c r="H5" s="692"/>
      <c r="I5" s="692"/>
      <c r="R5" s="691" t="s">
        <v>3061</v>
      </c>
    </row>
    <row r="6" spans="1:18" ht="18" x14ac:dyDescent="0.35">
      <c r="B6" s="692">
        <v>456</v>
      </c>
      <c r="C6" s="692">
        <v>455</v>
      </c>
      <c r="D6" s="692">
        <v>487</v>
      </c>
      <c r="E6" s="692">
        <v>533</v>
      </c>
      <c r="F6" s="692">
        <v>599</v>
      </c>
      <c r="G6" s="692">
        <v>612</v>
      </c>
      <c r="H6" s="700"/>
      <c r="I6" s="692"/>
      <c r="R6" s="709" t="s">
        <v>2086</v>
      </c>
    </row>
    <row r="7" spans="1:18" ht="18" x14ac:dyDescent="0.35">
      <c r="B7" s="692"/>
      <c r="C7" s="692"/>
      <c r="D7" s="692"/>
      <c r="E7" s="692"/>
      <c r="F7" s="692"/>
      <c r="G7" s="692"/>
      <c r="H7" s="692"/>
      <c r="I7" s="692"/>
      <c r="R7" s="708" t="s">
        <v>2068</v>
      </c>
    </row>
    <row r="8" spans="1:18" ht="18" x14ac:dyDescent="0.35">
      <c r="B8" s="692"/>
      <c r="C8" s="692"/>
      <c r="D8" s="692"/>
      <c r="E8" s="692"/>
      <c r="F8" s="692"/>
      <c r="G8" s="692"/>
      <c r="H8" s="692"/>
      <c r="I8" s="692"/>
      <c r="R8" s="708" t="s">
        <v>2069</v>
      </c>
    </row>
    <row r="9" spans="1:18" ht="18" x14ac:dyDescent="0.35">
      <c r="B9" s="692" t="s">
        <v>3058</v>
      </c>
      <c r="C9" s="692"/>
      <c r="D9" s="692"/>
      <c r="E9" s="706">
        <f>PEARSON(B6:G6,B5:G5)</f>
        <v>0.96648257872038035</v>
      </c>
      <c r="F9" s="692"/>
      <c r="G9" s="692"/>
      <c r="H9" s="692"/>
      <c r="I9" s="692"/>
      <c r="R9" s="708" t="s">
        <v>2070</v>
      </c>
    </row>
    <row r="10" spans="1:18" ht="18" x14ac:dyDescent="0.35">
      <c r="B10" s="692"/>
      <c r="C10" s="692"/>
      <c r="D10" s="692"/>
      <c r="E10" s="692"/>
      <c r="F10" s="692"/>
      <c r="G10" s="692"/>
      <c r="H10" s="692"/>
      <c r="I10" s="692"/>
      <c r="R10" s="708" t="s">
        <v>2078</v>
      </c>
    </row>
    <row r="11" spans="1:18" ht="18" x14ac:dyDescent="0.35">
      <c r="B11" s="692"/>
      <c r="C11" s="692"/>
      <c r="D11" s="692"/>
      <c r="E11" s="692"/>
      <c r="F11" s="692"/>
      <c r="G11" s="692"/>
      <c r="H11" s="692"/>
      <c r="I11" s="692"/>
      <c r="R11" s="708" t="s">
        <v>2080</v>
      </c>
    </row>
    <row r="12" spans="1:18" ht="18" x14ac:dyDescent="0.35">
      <c r="B12" s="692"/>
      <c r="C12" s="692"/>
      <c r="D12" s="692"/>
      <c r="E12" s="692"/>
      <c r="F12" s="692"/>
      <c r="G12" s="692"/>
      <c r="H12" s="692"/>
      <c r="I12" s="692"/>
      <c r="R12" s="708" t="s">
        <v>2081</v>
      </c>
    </row>
    <row r="23" spans="1:1" x14ac:dyDescent="0.3">
      <c r="A23" t="s">
        <v>3060</v>
      </c>
    </row>
    <row r="24" spans="1:1" x14ac:dyDescent="0.3">
      <c r="A24" s="707" t="s">
        <v>3059</v>
      </c>
    </row>
  </sheetData>
  <hyperlinks>
    <hyperlink ref="A24" r:id="rId1"/>
    <hyperlink ref="R7" r:id="rId2" display="http://office.microsoft.com/en-us/excel-help/redir/HP005209143.aspx?CTT=3"/>
    <hyperlink ref="R8" r:id="rId3" display="http://office.microsoft.com/en-us/excel-help/redir/HP005209155.aspx?CTT=3"/>
    <hyperlink ref="R9" r:id="rId4" display="http://office.microsoft.com/en-us/excel-help/redir/HP005209159.aspx?CTT=3"/>
    <hyperlink ref="R10" r:id="rId5" display="http://office.microsoft.com/en-us/excel-help/redir/HP005209210.aspx?CTT=3"/>
    <hyperlink ref="R11" r:id="rId6" display="http://office.microsoft.com/en-us/excel-help/redir/HP005209247.aspx?CTT=3"/>
    <hyperlink ref="R12" r:id="rId7" display="http://office.microsoft.com/en-us/excel-help/redir/HP005209264.aspx?CTT=3"/>
    <hyperlink ref="R6" r:id="rId8"/>
  </hyperlinks>
  <pageMargins left="0.7" right="0.7" top="0.75" bottom="0.75" header="0.3" footer="0.3"/>
  <drawing r:id="rId9"/>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election activeCell="B14" sqref="B14"/>
    </sheetView>
  </sheetViews>
  <sheetFormatPr defaultRowHeight="14.4" x14ac:dyDescent="0.3"/>
  <cols>
    <col min="1" max="1" width="19.33203125" customWidth="1"/>
    <col min="2" max="2" width="76.5546875" customWidth="1"/>
    <col min="3" max="3" width="16" bestFit="1" customWidth="1"/>
  </cols>
  <sheetData>
    <row r="1" spans="1:3" ht="25.8" x14ac:dyDescent="0.5">
      <c r="A1" s="693" t="s">
        <v>3062</v>
      </c>
    </row>
    <row r="4" spans="1:3" ht="18.600000000000001" thickBot="1" x14ac:dyDescent="0.4">
      <c r="A4" s="695" t="s">
        <v>3063</v>
      </c>
      <c r="B4" s="695" t="s">
        <v>100</v>
      </c>
      <c r="C4" s="692"/>
    </row>
    <row r="5" spans="1:3" ht="18" x14ac:dyDescent="0.35">
      <c r="A5" s="712">
        <v>500</v>
      </c>
      <c r="B5" s="692" t="s">
        <v>3064</v>
      </c>
      <c r="C5" s="692"/>
    </row>
    <row r="6" spans="1:3" ht="18" x14ac:dyDescent="0.35">
      <c r="A6" s="710">
        <v>0.08</v>
      </c>
      <c r="B6" s="692" t="s">
        <v>3065</v>
      </c>
      <c r="C6" s="692"/>
    </row>
    <row r="7" spans="1:3" ht="18" x14ac:dyDescent="0.35">
      <c r="A7" s="711">
        <v>20</v>
      </c>
      <c r="B7" s="692" t="s">
        <v>3066</v>
      </c>
      <c r="C7" s="692"/>
    </row>
    <row r="8" spans="1:3" ht="18" x14ac:dyDescent="0.35">
      <c r="A8" s="714"/>
      <c r="B8" s="692"/>
      <c r="C8" s="692"/>
    </row>
    <row r="9" spans="1:3" ht="18" x14ac:dyDescent="0.35">
      <c r="A9" s="692" t="s">
        <v>3067</v>
      </c>
      <c r="B9" s="692" t="s">
        <v>100</v>
      </c>
      <c r="C9" s="692"/>
    </row>
    <row r="10" spans="1:3" ht="18.600000000000001" thickBot="1" x14ac:dyDescent="0.4">
      <c r="A10" s="713">
        <f>PV(A6/12, 12*A7, A5, , 0)</f>
        <v>-59777.145851187823</v>
      </c>
      <c r="B10" s="692" t="s">
        <v>3068</v>
      </c>
      <c r="C10" s="692"/>
    </row>
    <row r="11" spans="1:3" ht="18.600000000000001" thickTop="1" x14ac:dyDescent="0.35">
      <c r="C11" s="692"/>
    </row>
  </sheetData>
  <pageMargins left="0.7" right="0.7" top="0.75" bottom="0.75" header="0.3" footer="0.3"/>
  <pageSetup orientation="portrait" horizontalDpi="200" verticalDpi="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4.4" x14ac:dyDescent="0.3"/>
  <sheetData>
    <row r="1" spans="1:1" ht="25.8" x14ac:dyDescent="0.5">
      <c r="A1" s="69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10</vt:i4>
      </vt:variant>
    </vt:vector>
  </HeadingPairs>
  <TitlesOfParts>
    <vt:vector size="129" baseType="lpstr">
      <vt:lpstr>Top Functions</vt:lpstr>
      <vt:lpstr>All Functions</vt:lpstr>
      <vt:lpstr>New Functions</vt:lpstr>
      <vt:lpstr>INSERT FUNCTION</vt:lpstr>
      <vt:lpstr>1 IF a</vt:lpstr>
      <vt:lpstr>1 IF b</vt:lpstr>
      <vt:lpstr>1 IF c</vt:lpstr>
      <vt:lpstr>1 IF d</vt:lpstr>
      <vt:lpstr>1 IF e</vt:lpstr>
      <vt:lpstr>1 IF f</vt:lpstr>
      <vt:lpstr>2 SUM</vt:lpstr>
      <vt:lpstr>3 SUBTOTAL a</vt:lpstr>
      <vt:lpstr>3 SUBTOTAL b</vt:lpstr>
      <vt:lpstr>4 SUMIF</vt:lpstr>
      <vt:lpstr>5 COUNT</vt:lpstr>
      <vt:lpstr>6 COUNTA</vt:lpstr>
      <vt:lpstr>7 AVERAGE</vt:lpstr>
      <vt:lpstr>8 COUNTBLANK</vt:lpstr>
      <vt:lpstr>9 COUNTIF</vt:lpstr>
      <vt:lpstr>10 Value</vt:lpstr>
      <vt:lpstr>11 TEXT</vt:lpstr>
      <vt:lpstr>12 VLOOKUP</vt:lpstr>
      <vt:lpstr>13 HLOOKUP</vt:lpstr>
      <vt:lpstr>14 TWO WAY LOOKUP</vt:lpstr>
      <vt:lpstr>15 LOOKUP</vt:lpstr>
      <vt:lpstr>16 MATCH</vt:lpstr>
      <vt:lpstr>17 TRIM</vt:lpstr>
      <vt:lpstr>18 PROPER</vt:lpstr>
      <vt:lpstr>19 LOWER</vt:lpstr>
      <vt:lpstr>20 UPPER</vt:lpstr>
      <vt:lpstr>21 LEFT</vt:lpstr>
      <vt:lpstr>22 RIGHT</vt:lpstr>
      <vt:lpstr>23 MID</vt:lpstr>
      <vt:lpstr>24 FIND</vt:lpstr>
      <vt:lpstr>25 SUBSTITUTE</vt:lpstr>
      <vt:lpstr>26 LEN</vt:lpstr>
      <vt:lpstr>26 LEN adv</vt:lpstr>
      <vt:lpstr>27 REPLACE</vt:lpstr>
      <vt:lpstr>28 CONCANTENATE</vt:lpstr>
      <vt:lpstr>29 CLEAN</vt:lpstr>
      <vt:lpstr>30 NOW</vt:lpstr>
      <vt:lpstr>31 TODAY</vt:lpstr>
      <vt:lpstr>32 DATE</vt:lpstr>
      <vt:lpstr>33 MONTH</vt:lpstr>
      <vt:lpstr>34 DAY</vt:lpstr>
      <vt:lpstr>35 YEAR</vt:lpstr>
      <vt:lpstr>36 WEEKDAY</vt:lpstr>
      <vt:lpstr>37 ROUND</vt:lpstr>
      <vt:lpstr>38 ROUNDDOWN</vt:lpstr>
      <vt:lpstr>39 ROUNDUP (2)</vt:lpstr>
      <vt:lpstr>40 MAX</vt:lpstr>
      <vt:lpstr>41 DMAX </vt:lpstr>
      <vt:lpstr>42 MIN </vt:lpstr>
      <vt:lpstr>43 DMIN</vt:lpstr>
      <vt:lpstr>44 MEDIAN</vt:lpstr>
      <vt:lpstr>45 MODE</vt:lpstr>
      <vt:lpstr>46 PERCENTILE</vt:lpstr>
      <vt:lpstr>47 PERCENTRANK</vt:lpstr>
      <vt:lpstr>48 PMT</vt:lpstr>
      <vt:lpstr>49 NPV</vt:lpstr>
      <vt:lpstr>50 DSUM</vt:lpstr>
      <vt:lpstr>51 DCOUNT</vt:lpstr>
      <vt:lpstr>52 DCOUNTA</vt:lpstr>
      <vt:lpstr>53 AND</vt:lpstr>
      <vt:lpstr>54 OR</vt:lpstr>
      <vt:lpstr>55 CHOOSE</vt:lpstr>
      <vt:lpstr>56 TIME</vt:lpstr>
      <vt:lpstr>57 FV</vt:lpstr>
      <vt:lpstr>58 IRR</vt:lpstr>
      <vt:lpstr>59 YIELD</vt:lpstr>
      <vt:lpstr>60 CELL</vt:lpstr>
      <vt:lpstr>61 INFO</vt:lpstr>
      <vt:lpstr>62 ERROR TYPE</vt:lpstr>
      <vt:lpstr>63 ISBLANK</vt:lpstr>
      <vt:lpstr>64 ISNA</vt:lpstr>
      <vt:lpstr>65 GETPIVOTDATA</vt:lpstr>
      <vt:lpstr>66 HYPERLINK</vt:lpstr>
      <vt:lpstr>67 TRANSPOSE</vt:lpstr>
      <vt:lpstr>68 ABS</vt:lpstr>
      <vt:lpstr>69 RAND</vt:lpstr>
      <vt:lpstr>70 RANDBETWEEN</vt:lpstr>
      <vt:lpstr>71 REPT</vt:lpstr>
      <vt:lpstr>72 SLN</vt:lpstr>
      <vt:lpstr>73 SYD</vt:lpstr>
      <vt:lpstr>74 DDB</vt:lpstr>
      <vt:lpstr>75 DGET</vt:lpstr>
      <vt:lpstr>76 ADDRESS</vt:lpstr>
      <vt:lpstr>77 AGGREGATE</vt:lpstr>
      <vt:lpstr>78 FORECAST</vt:lpstr>
      <vt:lpstr>79 GROWTH</vt:lpstr>
      <vt:lpstr>80 LARGE</vt:lpstr>
      <vt:lpstr>81 NOT</vt:lpstr>
      <vt:lpstr>82 OFFSET</vt:lpstr>
      <vt:lpstr>82 OFFSET ADVANCED</vt:lpstr>
      <vt:lpstr>83 PEARSON</vt:lpstr>
      <vt:lpstr>84 PV</vt:lpstr>
      <vt:lpstr>Sheet10</vt:lpstr>
      <vt:lpstr>Sheet11</vt:lpstr>
      <vt:lpstr>Sheet12</vt:lpstr>
      <vt:lpstr>Sheet13</vt:lpstr>
      <vt:lpstr>Sheet14</vt:lpstr>
      <vt:lpstr>Sheet15</vt:lpstr>
      <vt:lpstr>Sheet16</vt:lpstr>
      <vt:lpstr>Sheet17</vt:lpstr>
      <vt:lpstr>Sheet18</vt:lpstr>
      <vt:lpstr>Sheet19</vt:lpstr>
      <vt:lpstr>Sheet20</vt:lpstr>
      <vt:lpstr>Sheet21</vt:lpstr>
      <vt:lpstr>Sheet22</vt:lpstr>
      <vt:lpstr>Sheet23</vt:lpstr>
      <vt:lpstr>120 WEEKNUM</vt:lpstr>
      <vt:lpstr>MORE PMT</vt:lpstr>
      <vt:lpstr>MORE Date</vt:lpstr>
      <vt:lpstr>MORE_Lookup</vt:lpstr>
      <vt:lpstr>MORE Time</vt:lpstr>
      <vt:lpstr>MORE Other</vt:lpstr>
      <vt:lpstr>New in 07</vt:lpstr>
      <vt:lpstr>Lookup Tables</vt:lpstr>
      <vt:lpstr>SELECTED FUNCTIONS</vt:lpstr>
      <vt:lpstr>data1</vt:lpstr>
      <vt:lpstr>'SELECTED FUNCTIONS'!Date_and_Time_functions</vt:lpstr>
      <vt:lpstr>'SELECTED FUNCTIONS'!Financial_functions</vt:lpstr>
      <vt:lpstr>'SELECTED FUNCTIONS'!Information_functions</vt:lpstr>
      <vt:lpstr>'SELECTED FUNCTIONS'!Logical_functions</vt:lpstr>
      <vt:lpstr>'SELECTED FUNCTIONS'!Lookup_and_Reference_functions</vt:lpstr>
      <vt:lpstr>'SELECTED FUNCTIONS'!Math_and_Trigonometry_functions</vt:lpstr>
      <vt:lpstr>results1</vt:lpstr>
      <vt:lpstr>'SELECTED FUNCTIONS'!Statistical_functions</vt:lpstr>
      <vt:lpstr>'SELECTED FUNCTIONS'!Text_functions</vt:lpstr>
    </vt:vector>
  </TitlesOfParts>
  <Company>FTCC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Function Samples</dc:title>
  <dc:creator>carlton</dc:creator>
  <cp:lastModifiedBy>Rain</cp:lastModifiedBy>
  <cp:lastPrinted>2008-06-10T18:04:36Z</cp:lastPrinted>
  <dcterms:created xsi:type="dcterms:W3CDTF">2008-04-07T19:24:54Z</dcterms:created>
  <dcterms:modified xsi:type="dcterms:W3CDTF">2013-04-22T16:00:36Z</dcterms:modified>
</cp:coreProperties>
</file>